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C:\Users\aamirkhanian\Box\"/>
    </mc:Choice>
  </mc:AlternateContent>
  <xr:revisionPtr revIDLastSave="0" documentId="13_ncr:1_{B677CFE4-921F-4F73-94CC-DB344EF4EF7C}" xr6:coauthVersionLast="47" xr6:coauthVersionMax="47" xr10:uidLastSave="{00000000-0000-0000-0000-000000000000}"/>
  <bookViews>
    <workbookView xWindow="28680" yWindow="60" windowWidth="29040" windowHeight="17640" tabRatio="782" xr2:uid="{42315FD9-BDE5-42C4-8CB1-445C065DEDEB}"/>
  </bookViews>
  <sheets>
    <sheet name="Information" sheetId="4" r:id="rId1"/>
    <sheet name="US-Units" sheetId="1" r:id="rId2"/>
    <sheet name="Metric-Units" sheetId="6" r:id="rId3"/>
    <sheet name="Supplemental" sheetId="2" r:id="rId4"/>
    <sheet name="Error Bits (US)" sheetId="5" r:id="rId5"/>
    <sheet name="Error Bits (Metric)" sheetId="7" r:id="rId6"/>
  </sheets>
  <definedNames>
    <definedName name="MaxUSBound">Supplemental!#REF!</definedName>
    <definedName name="MinUSBound">Supplemental!#REF!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0" i="6" l="1"/>
  <c r="F41" i="2"/>
  <c r="F40" i="2"/>
  <c r="A28" i="6"/>
  <c r="F38" i="2"/>
  <c r="E37" i="2"/>
  <c r="E41" i="2" s="1"/>
  <c r="E33" i="2"/>
  <c r="F33" i="2" s="1"/>
  <c r="F32" i="2"/>
  <c r="F28" i="2"/>
  <c r="F27" i="2" a="1"/>
  <c r="F27" i="2" s="1"/>
  <c r="F26" i="2" a="1"/>
  <c r="F26" i="2" s="1"/>
  <c r="E17" i="2"/>
  <c r="F17" i="2"/>
  <c r="E18" i="2"/>
  <c r="F18" i="2"/>
  <c r="E19" i="2"/>
  <c r="F19" i="2"/>
  <c r="E20" i="2"/>
  <c r="F20" i="2"/>
  <c r="E21" i="2"/>
  <c r="F21" i="2"/>
  <c r="E22" i="2"/>
  <c r="F22" i="2"/>
  <c r="E23" i="2"/>
  <c r="F23" i="2"/>
  <c r="F16" i="2"/>
  <c r="E16" i="2"/>
  <c r="F12" i="2"/>
  <c r="F11" i="2"/>
  <c r="F10" i="2"/>
  <c r="F9" i="2"/>
  <c r="F8" i="2"/>
  <c r="F7" i="2"/>
  <c r="F6" i="2"/>
  <c r="F5" i="2"/>
  <c r="E12" i="2"/>
  <c r="E11" i="2"/>
  <c r="E10" i="2"/>
  <c r="E9" i="2"/>
  <c r="E8" i="2"/>
  <c r="E7" i="2"/>
  <c r="E6" i="2"/>
  <c r="E5" i="2"/>
  <c r="H21" i="6"/>
  <c r="H23" i="6" s="1"/>
  <c r="H25" i="6" s="1"/>
  <c r="H27" i="6" s="1"/>
  <c r="H19" i="6"/>
  <c r="H17" i="6"/>
  <c r="H15" i="6"/>
  <c r="H13" i="6"/>
  <c r="B7" i="7"/>
  <c r="B3" i="7"/>
  <c r="A6" i="7"/>
  <c r="G11" i="6"/>
  <c r="H11" i="6" s="1"/>
  <c r="C27" i="6"/>
  <c r="C25" i="6"/>
  <c r="C23" i="6"/>
  <c r="C21" i="6"/>
  <c r="C19" i="6"/>
  <c r="C17" i="6"/>
  <c r="C15" i="6"/>
  <c r="C13" i="6"/>
  <c r="A5" i="6"/>
  <c r="E38" i="2" l="1"/>
  <c r="B5" i="7"/>
  <c r="E13" i="6"/>
  <c r="E15" i="6" s="1"/>
  <c r="E17" i="6" s="1"/>
  <c r="E19" i="6" s="1"/>
  <c r="E21" i="6" s="1"/>
  <c r="E23" i="6" s="1"/>
  <c r="E25" i="6" s="1"/>
  <c r="E27" i="6" s="1"/>
  <c r="I15" i="6"/>
  <c r="I13" i="6"/>
  <c r="B2" i="7" l="1"/>
  <c r="I17" i="6"/>
  <c r="I19" i="6" l="1"/>
  <c r="I21" i="6" l="1"/>
  <c r="I23" i="6" l="1"/>
  <c r="B4" i="7" l="1"/>
  <c r="B6" i="7"/>
  <c r="I25" i="6"/>
  <c r="D2" i="7" l="1"/>
  <c r="F33" i="6" s="1"/>
  <c r="I13" i="1"/>
  <c r="J13" i="1" s="1"/>
  <c r="E16" i="1"/>
  <c r="B7" i="5"/>
  <c r="B3" i="5"/>
  <c r="E26" i="1"/>
  <c r="E25" i="1"/>
  <c r="C25" i="1"/>
  <c r="E24" i="1"/>
  <c r="E23" i="1"/>
  <c r="C23" i="1"/>
  <c r="E22" i="1"/>
  <c r="E21" i="1"/>
  <c r="C21" i="1"/>
  <c r="E20" i="1"/>
  <c r="E19" i="1"/>
  <c r="C19" i="1"/>
  <c r="E18" i="1"/>
  <c r="E17" i="1"/>
  <c r="C17" i="1"/>
  <c r="E15" i="1"/>
  <c r="C15" i="1"/>
  <c r="C27" i="1"/>
  <c r="E27" i="1"/>
  <c r="H11" i="1"/>
  <c r="I11" i="1" s="1"/>
  <c r="B41" i="2"/>
  <c r="B40" i="2"/>
  <c r="B38" i="2"/>
  <c r="A5" i="1"/>
  <c r="C13" i="1"/>
  <c r="E13" i="1"/>
  <c r="F13" i="1" s="1"/>
  <c r="A5" i="2" s="1"/>
  <c r="A16" i="2" s="1"/>
  <c r="E14" i="1"/>
  <c r="E12" i="1"/>
  <c r="I15" i="1" l="1"/>
  <c r="I17" i="1" s="1"/>
  <c r="I19" i="1" s="1"/>
  <c r="I21" i="1" s="1"/>
  <c r="I23" i="1" s="1"/>
  <c r="I25" i="1" s="1"/>
  <c r="I27" i="1" s="1"/>
  <c r="B12" i="2" s="1"/>
  <c r="B23" i="2" s="1"/>
  <c r="B5" i="2"/>
  <c r="B16" i="2" s="1"/>
  <c r="F15" i="1"/>
  <c r="B2" i="5"/>
  <c r="B8" i="2" l="1"/>
  <c r="B19" i="2" s="1"/>
  <c r="J23" i="1"/>
  <c r="B11" i="2"/>
  <c r="B22" i="2" s="1"/>
  <c r="B5" i="5"/>
  <c r="J15" i="1"/>
  <c r="B7" i="2"/>
  <c r="B18" i="2" s="1"/>
  <c r="B6" i="2"/>
  <c r="B17" i="2" s="1"/>
  <c r="B10" i="2"/>
  <c r="B21" i="2" s="1"/>
  <c r="J19" i="1"/>
  <c r="J17" i="1"/>
  <c r="J25" i="1"/>
  <c r="J21" i="1"/>
  <c r="B9" i="2"/>
  <c r="B20" i="2" s="1"/>
  <c r="F17" i="1"/>
  <c r="A6" i="2"/>
  <c r="A17" i="2" s="1"/>
  <c r="B4" i="5" l="1"/>
  <c r="A7" i="2"/>
  <c r="A18" i="2" s="1"/>
  <c r="F19" i="1"/>
  <c r="A8" i="2" l="1"/>
  <c r="A19" i="2" s="1"/>
  <c r="F21" i="1"/>
  <c r="A9" i="2" l="1"/>
  <c r="A20" i="2" s="1"/>
  <c r="F23" i="1"/>
  <c r="A10" i="2" l="1"/>
  <c r="A21" i="2" s="1"/>
  <c r="F25" i="1"/>
  <c r="A11" i="2" l="1"/>
  <c r="A22" i="2" s="1"/>
  <c r="F27" i="1"/>
  <c r="A12" i="2" s="1"/>
  <c r="A23" i="2" s="1"/>
  <c r="A33" i="2" l="1"/>
  <c r="B27" i="2" a="1"/>
  <c r="B27" i="2" s="1"/>
  <c r="B32" i="2" s="1"/>
  <c r="B6" i="5"/>
  <c r="D2" i="5" s="1"/>
  <c r="G33" i="1" s="1"/>
  <c r="B28" i="2"/>
  <c r="A6" i="5" s="1"/>
  <c r="B26" i="2" a="1"/>
  <c r="B26" i="2" s="1"/>
  <c r="B33" i="2" l="1"/>
  <c r="A28" i="1"/>
  <c r="A37" i="2"/>
  <c r="A38" i="2" l="1"/>
  <c r="G30" i="1"/>
  <c r="A4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<sst xmlns="http://schemas.openxmlformats.org/spreadsheetml/2006/main" count="93" uniqueCount="58">
  <si>
    <t>Plant Name:</t>
  </si>
  <si>
    <t>Job Mix Identification:</t>
  </si>
  <si>
    <t>Date and Time</t>
  </si>
  <si>
    <t>Age (hours)</t>
  </si>
  <si>
    <t>Specimen Type:</t>
  </si>
  <si>
    <t>Compressive Strength</t>
  </si>
  <si>
    <t>Flexural Strength</t>
  </si>
  <si>
    <t>TTF At Time (°C-hr)</t>
  </si>
  <si>
    <t>Temp. Reading (°C)</t>
  </si>
  <si>
    <t>Air Temp. (°F)</t>
  </si>
  <si>
    <t>Datum Temperature:</t>
  </si>
  <si>
    <t>TTF Required for Opening:</t>
  </si>
  <si>
    <t>Maturity Curve Date:</t>
  </si>
  <si>
    <t>%% US Units: Calculates intersection lines for graph</t>
  </si>
  <si>
    <t>This spreadsheet is provided for informational and educational purposes only. It is intended to demonstrate certain processes and methodologies relevant to engineering practices. While every effort has been made to ensure the accuracy and completeness of the information contained within this spreadsheet, it is provided 'as-is' without warranty of any kind, express or implied.</t>
  </si>
  <si>
    <t>The header information in the example sheets outlines the various plant, mixture, and agency specific items that may need to be present for record keeping purposes.</t>
  </si>
  <si>
    <t>The datum temperature can be changed from the -10 deg C value. However, changing this term should only be done by a user with a complete understanding of the maturity method and a specific understanding of how the datum temperature affects the resulting maturity calculations.</t>
  </si>
  <si>
    <t>All gray-shaded cells are for intermediate calculations. These should not be changed by the user but are explicitly shown for auditing the calculation procedure.</t>
  </si>
  <si>
    <t>The green-shaded cells are the final calculated values of importance. These are the values used in the strength and opening assessment. The equations should not be changed in these cells.</t>
  </si>
  <si>
    <t>Specimen</t>
  </si>
  <si>
    <t>Warnings:</t>
  </si>
  <si>
    <t>Section 9: Establishment of Maturity Curve</t>
  </si>
  <si>
    <t>Error Codes</t>
  </si>
  <si>
    <t>Diff. of Tests
(%)</t>
  </si>
  <si>
    <t>Error Bit</t>
  </si>
  <si>
    <t xml:space="preserve">Insufficient strengths measured below the target opening strength (see Section 9.1.5). </t>
  </si>
  <si>
    <t xml:space="preserve">Variation in strength between two specimens is outside AASHTO T22/T97 precision limits. </t>
  </si>
  <si>
    <t xml:space="preserve">Ideally two sets of measurements should be below the opening strength (see Section 9.1.5). </t>
  </si>
  <si>
    <r>
      <t xml:space="preserve">Per </t>
    </r>
    <r>
      <rPr>
        <sz val="12"/>
        <color theme="1"/>
        <rFont val="Arial"/>
        <family val="2"/>
      </rPr>
      <t>§</t>
    </r>
    <r>
      <rPr>
        <i/>
        <sz val="12"/>
        <color theme="1"/>
        <rFont val="Arial"/>
        <family val="2"/>
      </rPr>
      <t>9.1.1 a minimum of twelve specimens shall be cast. Recommended that fifteen specimens be cast</t>
    </r>
  </si>
  <si>
    <t>Casting Date/Time</t>
  </si>
  <si>
    <t>Maturity Identification:</t>
  </si>
  <si>
    <t xml:space="preserve">Unreasonably low opening strength. Ensure the correct strength type is selected. </t>
  </si>
  <si>
    <t xml:space="preserve">Unreasonably high opening strength. Ensure the correct strength type is selected. </t>
  </si>
  <si>
    <t>Conc. Temp. Reading (°F)</t>
  </si>
  <si>
    <t>%% US Units: Plot the linear fit</t>
  </si>
  <si>
    <t>%% US Units: Graph Data</t>
  </si>
  <si>
    <t>%% US Units: Forecast Data</t>
  </si>
  <si>
    <t>%% US Units: TTF Determination</t>
  </si>
  <si>
    <t>Slope</t>
  </si>
  <si>
    <t>b</t>
  </si>
  <si>
    <t>R2</t>
  </si>
  <si>
    <t>Worksheet Example for Maturity Curve Development as described in AASHTO T413</t>
  </si>
  <si>
    <t>*Needs to return a "2"</t>
  </si>
  <si>
    <t>*Need to return a "1"</t>
  </si>
  <si>
    <t>Custom Error A</t>
  </si>
  <si>
    <t>Custom Error B</t>
  </si>
  <si>
    <t>The user has the ability to add two additional error codes that might be relevant for their agency or projects. Please review how the built-in errors are handled with bitflags and note that the additional error codes need to return the indicated value in order to work properly.</t>
  </si>
  <si>
    <t>By default, the non-editable cells are locked to prevent accidental changes. However, the user may wish to customize the sheet for their agency and project specific requirements. To unlock the sheet, go to the "Review" tab in the Ribbon and click "Unprotect Sheet". There is no password but users are strongly cautioned to take time to fully understand the calculations prior to making changes.</t>
  </si>
  <si>
    <t>The "Supplemental" worksheet contains intermediate calculations necessary for the main sheet to operate. The user should not change any of the calculations in this sheet. Specifically, the linear regression performed on the data is done in a specific manner due to how Excel handles merged cells. Changing this calculation can result in miscalculated opening TTF values.</t>
  </si>
  <si>
    <t>The "Error Bits" worksheet contains all the checks for the calculations. The user has the option to add two additional custom checks. Documentation is provided on that worksheet.</t>
  </si>
  <si>
    <t>All blue-shaded cells are for the user to input the required information. There is a drop-down menu for the strength type (i.e. compressive or flexural) which changes the resulting text of the other cells to maintain a consistent flow of information.</t>
  </si>
  <si>
    <t>If the user is curious as to how this error handling works, this article provides a decent starting point: https://pressbooks.lib.jmu.edu/programmingpatterns/chapter/bitflags/</t>
  </si>
  <si>
    <t>Air Temp. (°C)</t>
  </si>
  <si>
    <t>%% Metric Units: Graph Data</t>
  </si>
  <si>
    <t>%% Metric Units: Forecast Data</t>
  </si>
  <si>
    <t>%% Metric Units: TTF Determination</t>
  </si>
  <si>
    <t>%% Metric Units: Plot the linear fit</t>
  </si>
  <si>
    <t>%% Metric Units: Calculates intersection lines for graph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</si>
</sst>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409]m/d/yy\ h:mm\ AM/PM;@"/>
    <numFmt numFmtId="165" formatCode="0.0"/>
    <numFmt numFmtId="166" formatCode="0\ \°\C"/>
    <numFmt numFmtId="167" formatCode="0\ &quot;psi&quot;"/>
    <numFmt numFmtId="168" formatCode="0\ &quot;°C-hr&quot;"/>
    <numFmt numFmtId="169" formatCode="0.0%"/>
    <numFmt numFmtId="170" formatCode="0.000000000000000"/>
    <numFmt numFmtId="171" formatCode="0\ &quot;MPa&quot;"/>
  </numFmts>
  <fonts count="22" x14ac:knownFonts="1">
    <font>
      <sz val="12"/>
      <color theme="1"/>
      <name val="Calibri"/>
      <family val="2"/>
      <scheme val="minor"/>
    </font>
    <font>
      <sz val="12"/>
      <color theme="1"/>
      <name val="Arial"/>
      <family val="2"/>
    </font>
    <font>
      <sz val="10"/>
      <color theme="1"/>
      <name val="Arial"/>
      <family val="2"/>
    </font>
    <font>
      <b/>
      <sz val="12"/>
      <color theme="1"/>
      <name val="Arial"/>
      <family val="2"/>
    </font>
    <font>
      <b/>
      <sz val="11"/>
      <color rgb="FF0070C0"/>
      <name val="Arial"/>
      <family val="2"/>
    </font>
    <font>
      <b/>
      <sz val="11"/>
      <color theme="1" tint="0.499984740745262"/>
      <name val="Arial"/>
      <family val="2"/>
    </font>
    <font>
      <b/>
      <sz val="11"/>
      <color theme="1"/>
      <name val="Arial"/>
      <family val="2"/>
    </font>
    <font>
      <b/>
      <sz val="12"/>
      <color rgb="FFC00000"/>
      <name val="Arial"/>
      <family val="2"/>
    </font>
    <font>
      <b/>
      <sz val="20"/>
      <color theme="1"/>
      <name val="Calibri"/>
      <family val="2"/>
      <scheme val="minor"/>
    </font>
    <font>
      <b/>
      <sz val="12"/>
      <color theme="4"/>
      <name val="Arial"/>
      <family val="2"/>
    </font>
    <font>
      <sz val="12"/>
      <color theme="4"/>
      <name val="Arial"/>
      <family val="2"/>
    </font>
    <font>
      <sz val="11"/>
      <color theme="1"/>
      <name val="Arial"/>
      <family val="2"/>
    </font>
    <font>
      <i/>
      <sz val="12"/>
      <color theme="1"/>
      <name val="Arial"/>
      <family val="2"/>
    </font>
    <font>
      <sz val="10"/>
      <color rgb="FFFF0000"/>
      <name val="Arial"/>
      <family val="2"/>
    </font>
    <font>
      <sz val="12"/>
      <color theme="1"/>
      <name val="Calibri"/>
      <family val="2"/>
      <scheme val="minor"/>
    </font>
    <font>
      <b/>
      <sz val="12"/>
      <color theme="1"/>
      <name val="Calibri"/>
      <family val="2"/>
      <scheme val="minor"/>
    </font>
    <font>
      <b/>
      <sz val="11"/>
      <name val="Arial"/>
      <family val="2"/>
    </font>
    <font>
      <b/>
      <sz val="10"/>
      <color rgb="FF0070C0"/>
      <name val="Arial"/>
      <family val="2"/>
    </font>
    <font>
      <i/>
      <sz val="12"/>
      <color theme="1"/>
      <name val="Calibri"/>
      <family val="2"/>
      <scheme val="minor"/>
    </font>
    <font>
      <b/>
      <sz val="11"/>
      <color theme="4"/>
      <name val="Arial"/>
      <family val="2"/>
    </font>
    <font>
      <b/>
      <sz val="11"/>
      <color theme="2" tint="-0.499984740745262"/>
      <name val="Arial"/>
      <family val="2"/>
    </font>
    <font>
      <sz val="9"/>
      <color theme="1"/>
      <name val="Arial"/>
      <family val="2"/>
    </font>
  </fonts>
  <fills count="9">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CCFF"/>
        <bgColor indexed="64"/>
      </patternFill>
    </fill>
    <fill>
      <patternFill patternType="solid">
        <fgColor theme="7" tint="0.79998168889431442"/>
        <bgColor indexed="64"/>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uble">
        <color indexed="64"/>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theme="0"/>
      </left>
      <right/>
      <top/>
      <bottom/>
      <diagonal/>
    </border>
    <border>
      <left/>
      <right style="thin">
        <color theme="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s>
  <cellStyleXfs count="2">
    <xf numFmtId="0" fontId="0" fillId="0" borderId="0"/>
    <xf numFmtId="9" fontId="14" fillId="0" borderId="0" applyFont="0" applyFill="0" applyBorder="0" applyAlignment="0" applyProtection="0"/>
  </cellStyleXfs>
  <cellXfs count="133">
    <xf numFmtId="0" fontId="0" fillId="0" borderId="0" xfId="0"/>
    <xf numFmtId="1" fontId="0" fillId="0" borderId="0" xfId="0" applyNumberFormat="1"/>
    <xf numFmtId="0" fontId="1" fillId="3" borderId="0" xfId="0" applyFont="1" applyFill="1" applyAlignment="1">
      <alignment horizontal="right"/>
    </xf>
    <xf numFmtId="0" fontId="1" fillId="3" borderId="0" xfId="0" applyFont="1" applyFill="1"/>
    <xf numFmtId="0" fontId="2" fillId="3" borderId="10" xfId="0" applyFont="1" applyFill="1" applyBorder="1" applyAlignment="1">
      <alignment horizontal="center" vertical="center"/>
    </xf>
    <xf numFmtId="0" fontId="2" fillId="3" borderId="11"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0" fillId="0" borderId="14" xfId="0" applyBorder="1"/>
    <xf numFmtId="165" fontId="4" fillId="4" borderId="0" xfId="0" applyNumberFormat="1" applyFont="1" applyFill="1" applyAlignment="1" applyProtection="1">
      <alignment horizontal="center" vertical="center"/>
      <protection locked="0"/>
    </xf>
    <xf numFmtId="165" fontId="4" fillId="4" borderId="5" xfId="0" applyNumberFormat="1" applyFont="1" applyFill="1" applyBorder="1" applyAlignment="1" applyProtection="1">
      <alignment horizontal="center" vertical="center"/>
      <protection locked="0"/>
    </xf>
    <xf numFmtId="2" fontId="5" fillId="5" borderId="0" xfId="0" applyNumberFormat="1" applyFont="1" applyFill="1" applyAlignment="1">
      <alignment horizontal="center" vertical="center"/>
    </xf>
    <xf numFmtId="2" fontId="5" fillId="5" borderId="5" xfId="0" applyNumberFormat="1" applyFont="1" applyFill="1" applyBorder="1" applyAlignment="1">
      <alignment horizontal="center" vertical="center"/>
    </xf>
    <xf numFmtId="165" fontId="5" fillId="5" borderId="0" xfId="0" applyNumberFormat="1" applyFont="1" applyFill="1" applyAlignment="1">
      <alignment horizontal="center" vertical="center"/>
    </xf>
    <xf numFmtId="165" fontId="5" fillId="5" borderId="5" xfId="0" applyNumberFormat="1" applyFont="1" applyFill="1" applyBorder="1" applyAlignment="1">
      <alignment horizontal="center" vertical="center"/>
    </xf>
    <xf numFmtId="165" fontId="4" fillId="4" borderId="2" xfId="0" applyNumberFormat="1" applyFont="1" applyFill="1" applyBorder="1" applyAlignment="1" applyProtection="1">
      <alignment horizontal="center" vertical="center"/>
      <protection locked="0"/>
    </xf>
    <xf numFmtId="165" fontId="5" fillId="5" borderId="2" xfId="0" applyNumberFormat="1" applyFont="1" applyFill="1" applyBorder="1" applyAlignment="1">
      <alignment horizontal="center" vertical="center"/>
    </xf>
    <xf numFmtId="164" fontId="17" fillId="4" borderId="8" xfId="0" applyNumberFormat="1" applyFont="1" applyFill="1" applyBorder="1" applyAlignment="1" applyProtection="1">
      <alignment horizontal="center" vertical="center" wrapText="1"/>
      <protection locked="0"/>
    </xf>
    <xf numFmtId="164" fontId="17" fillId="4" borderId="4" xfId="0" applyNumberFormat="1" applyFont="1" applyFill="1" applyBorder="1" applyAlignment="1" applyProtection="1">
      <alignment horizontal="center" vertical="center" wrapText="1"/>
      <protection locked="0"/>
    </xf>
    <xf numFmtId="170" fontId="1" fillId="3" borderId="0" xfId="0" applyNumberFormat="1" applyFont="1" applyFill="1"/>
    <xf numFmtId="0" fontId="18" fillId="0" borderId="0" xfId="0" applyFont="1"/>
    <xf numFmtId="1" fontId="19" fillId="4" borderId="2" xfId="0" applyNumberFormat="1" applyFont="1" applyFill="1" applyBorder="1" applyAlignment="1" applyProtection="1">
      <alignment horizontal="center" vertical="center"/>
      <protection locked="0"/>
    </xf>
    <xf numFmtId="1" fontId="19" fillId="4" borderId="5" xfId="0" applyNumberFormat="1" applyFont="1" applyFill="1" applyBorder="1" applyAlignment="1" applyProtection="1">
      <alignment horizontal="center" vertical="center"/>
      <protection locked="0"/>
    </xf>
    <xf numFmtId="1" fontId="16" fillId="6" borderId="5" xfId="0" applyNumberFormat="1" applyFont="1" applyFill="1" applyBorder="1" applyAlignment="1">
      <alignment horizontal="center" vertical="center"/>
    </xf>
    <xf numFmtId="0" fontId="2" fillId="3" borderId="1" xfId="0" applyFont="1" applyFill="1" applyBorder="1" applyAlignment="1">
      <alignment horizontal="center" vertical="center"/>
    </xf>
    <xf numFmtId="0" fontId="2" fillId="3" borderId="3" xfId="0" applyFont="1" applyFill="1" applyBorder="1" applyAlignment="1">
      <alignment horizontal="center" vertical="center" wrapText="1"/>
    </xf>
    <xf numFmtId="0" fontId="11" fillId="3" borderId="8" xfId="0" applyFont="1" applyFill="1" applyBorder="1" applyAlignment="1">
      <alignment horizontal="center" vertical="center" wrapText="1"/>
    </xf>
    <xf numFmtId="1" fontId="16" fillId="6" borderId="0" xfId="0" applyNumberFormat="1" applyFont="1" applyFill="1" applyAlignment="1">
      <alignment horizontal="center" vertical="center"/>
    </xf>
    <xf numFmtId="0" fontId="11" fillId="3" borderId="8" xfId="0" applyFont="1" applyFill="1" applyBorder="1" applyAlignment="1">
      <alignment horizontal="center"/>
    </xf>
    <xf numFmtId="0" fontId="11" fillId="3" borderId="4" xfId="0" applyFont="1" applyFill="1" applyBorder="1" applyAlignment="1">
      <alignment horizontal="center"/>
    </xf>
    <xf numFmtId="0" fontId="1" fillId="2" borderId="6" xfId="0" applyFont="1" applyFill="1" applyBorder="1"/>
    <xf numFmtId="1" fontId="4" fillId="2" borderId="0" xfId="0" applyNumberFormat="1" applyFont="1" applyFill="1" applyAlignment="1">
      <alignment horizontal="center" vertical="center"/>
    </xf>
    <xf numFmtId="2" fontId="6" fillId="2" borderId="9" xfId="0" applyNumberFormat="1" applyFont="1" applyFill="1" applyBorder="1" applyAlignment="1">
      <alignment horizontal="center" vertical="center"/>
    </xf>
    <xf numFmtId="0" fontId="1" fillId="2" borderId="9" xfId="0" applyFont="1" applyFill="1" applyBorder="1"/>
    <xf numFmtId="1" fontId="1" fillId="3" borderId="0" xfId="0" applyNumberFormat="1" applyFont="1" applyFill="1"/>
    <xf numFmtId="1" fontId="16" fillId="6" borderId="6" xfId="0" applyNumberFormat="1" applyFont="1" applyFill="1" applyBorder="1" applyAlignment="1">
      <alignment horizontal="center" vertical="center"/>
    </xf>
    <xf numFmtId="0" fontId="0" fillId="0" borderId="14" xfId="0" quotePrefix="1" applyBorder="1"/>
    <xf numFmtId="165" fontId="19" fillId="4" borderId="2" xfId="0" applyNumberFormat="1" applyFont="1" applyFill="1" applyBorder="1" applyAlignment="1" applyProtection="1">
      <alignment horizontal="center" vertical="center"/>
      <protection locked="0"/>
    </xf>
    <xf numFmtId="165" fontId="19" fillId="4" borderId="5" xfId="0" applyNumberFormat="1" applyFont="1" applyFill="1" applyBorder="1" applyAlignment="1" applyProtection="1">
      <alignment horizontal="center" vertical="center"/>
      <protection locked="0"/>
    </xf>
    <xf numFmtId="165" fontId="16" fillId="6" borderId="6" xfId="0" applyNumberFormat="1" applyFont="1" applyFill="1" applyBorder="1" applyAlignment="1">
      <alignment horizontal="center" vertical="center"/>
    </xf>
    <xf numFmtId="0" fontId="8" fillId="0" borderId="15" xfId="0" applyFont="1" applyBorder="1" applyAlignment="1">
      <alignment horizontal="center" wrapText="1"/>
    </xf>
    <xf numFmtId="0" fontId="8" fillId="0" borderId="16" xfId="0" applyFont="1" applyBorder="1" applyAlignment="1">
      <alignment horizontal="center" wrapText="1"/>
    </xf>
    <xf numFmtId="0" fontId="8" fillId="0" borderId="17" xfId="0" applyFont="1" applyBorder="1" applyAlignment="1">
      <alignment horizontal="center" wrapText="1"/>
    </xf>
    <xf numFmtId="0" fontId="0" fillId="0" borderId="18" xfId="0" applyBorder="1" applyAlignment="1">
      <alignment horizontal="center" wrapText="1"/>
    </xf>
    <xf numFmtId="0" fontId="0" fillId="0" borderId="19" xfId="0" applyBorder="1" applyAlignment="1">
      <alignment horizontal="center" wrapText="1"/>
    </xf>
    <xf numFmtId="0" fontId="0" fillId="0" borderId="20" xfId="0" applyBorder="1" applyAlignment="1">
      <alignment horizontal="center" wrapText="1"/>
    </xf>
    <xf numFmtId="0" fontId="0" fillId="0" borderId="24" xfId="0" applyBorder="1" applyAlignment="1">
      <alignment horizontal="center" wrapText="1"/>
    </xf>
    <xf numFmtId="0" fontId="0" fillId="0" borderId="0" xfId="0" applyAlignment="1">
      <alignment horizontal="center" wrapText="1"/>
    </xf>
    <xf numFmtId="0" fontId="0" fillId="0" borderId="25" xfId="0" applyBorder="1" applyAlignment="1">
      <alignment horizontal="center" wrapText="1"/>
    </xf>
    <xf numFmtId="0" fontId="0" fillId="0" borderId="21" xfId="0" applyBorder="1" applyAlignment="1">
      <alignment horizontal="center" wrapText="1"/>
    </xf>
    <xf numFmtId="0" fontId="0" fillId="0" borderId="22" xfId="0" applyBorder="1" applyAlignment="1">
      <alignment horizontal="center" wrapText="1"/>
    </xf>
    <xf numFmtId="0" fontId="0" fillId="0" borderId="23" xfId="0" applyBorder="1" applyAlignment="1">
      <alignment horizontal="center" wrapText="1"/>
    </xf>
    <xf numFmtId="0" fontId="0" fillId="4" borderId="18" xfId="0" applyFill="1" applyBorder="1" applyAlignment="1">
      <alignment horizontal="center" wrapText="1"/>
    </xf>
    <xf numFmtId="0" fontId="0" fillId="4" borderId="19" xfId="0" applyFill="1" applyBorder="1" applyAlignment="1">
      <alignment horizontal="center" wrapText="1"/>
    </xf>
    <xf numFmtId="0" fontId="0" fillId="4" borderId="20" xfId="0" applyFill="1" applyBorder="1" applyAlignment="1">
      <alignment horizontal="center" wrapText="1"/>
    </xf>
    <xf numFmtId="0" fontId="0" fillId="4" borderId="24" xfId="0" applyFill="1" applyBorder="1" applyAlignment="1">
      <alignment horizontal="center" wrapText="1"/>
    </xf>
    <xf numFmtId="0" fontId="0" fillId="4" borderId="0" xfId="0" applyFill="1" applyAlignment="1">
      <alignment horizontal="center" wrapText="1"/>
    </xf>
    <xf numFmtId="0" fontId="0" fillId="4" borderId="25" xfId="0" applyFill="1" applyBorder="1" applyAlignment="1">
      <alignment horizontal="center" wrapText="1"/>
    </xf>
    <xf numFmtId="0" fontId="0" fillId="4" borderId="21" xfId="0" applyFill="1" applyBorder="1" applyAlignment="1">
      <alignment horizontal="center" wrapText="1"/>
    </xf>
    <xf numFmtId="0" fontId="0" fillId="4" borderId="22" xfId="0" applyFill="1" applyBorder="1" applyAlignment="1">
      <alignment horizontal="center" wrapText="1"/>
    </xf>
    <xf numFmtId="0" fontId="0" fillId="4" borderId="23" xfId="0" applyFill="1" applyBorder="1" applyAlignment="1">
      <alignment horizontal="center" wrapText="1"/>
    </xf>
    <xf numFmtId="0" fontId="0" fillId="5" borderId="18" xfId="0" applyFill="1" applyBorder="1" applyAlignment="1">
      <alignment horizontal="center" wrapText="1"/>
    </xf>
    <xf numFmtId="0" fontId="0" fillId="5" borderId="19" xfId="0" applyFill="1" applyBorder="1" applyAlignment="1">
      <alignment horizontal="center" wrapText="1"/>
    </xf>
    <xf numFmtId="0" fontId="0" fillId="5" borderId="20" xfId="0" applyFill="1" applyBorder="1" applyAlignment="1">
      <alignment horizontal="center" wrapText="1"/>
    </xf>
    <xf numFmtId="0" fontId="0" fillId="5" borderId="21" xfId="0" applyFill="1" applyBorder="1" applyAlignment="1">
      <alignment horizontal="center" wrapText="1"/>
    </xf>
    <xf numFmtId="0" fontId="0" fillId="5" borderId="22" xfId="0" applyFill="1" applyBorder="1" applyAlignment="1">
      <alignment horizontal="center" wrapText="1"/>
    </xf>
    <xf numFmtId="0" fontId="0" fillId="5" borderId="23" xfId="0" applyFill="1" applyBorder="1" applyAlignment="1">
      <alignment horizontal="center" wrapText="1"/>
    </xf>
    <xf numFmtId="0" fontId="0" fillId="6" borderId="18" xfId="0" applyFill="1" applyBorder="1" applyAlignment="1">
      <alignment horizontal="center" wrapText="1"/>
    </xf>
    <xf numFmtId="0" fontId="0" fillId="6" borderId="19" xfId="0" applyFill="1" applyBorder="1" applyAlignment="1">
      <alignment horizontal="center" wrapText="1"/>
    </xf>
    <xf numFmtId="0" fontId="0" fillId="6" borderId="20" xfId="0" applyFill="1" applyBorder="1" applyAlignment="1">
      <alignment horizontal="center" wrapText="1"/>
    </xf>
    <xf numFmtId="0" fontId="0" fillId="6" borderId="21" xfId="0" applyFill="1" applyBorder="1" applyAlignment="1">
      <alignment horizontal="center" wrapText="1"/>
    </xf>
    <xf numFmtId="0" fontId="0" fillId="6" borderId="22" xfId="0" applyFill="1" applyBorder="1" applyAlignment="1">
      <alignment horizontal="center" wrapText="1"/>
    </xf>
    <xf numFmtId="0" fontId="0" fillId="6" borderId="23" xfId="0" applyFill="1" applyBorder="1" applyAlignment="1">
      <alignment horizontal="center" wrapText="1"/>
    </xf>
    <xf numFmtId="164" fontId="17" fillId="4" borderId="1" xfId="0" applyNumberFormat="1" applyFont="1" applyFill="1" applyBorder="1" applyAlignment="1" applyProtection="1">
      <alignment horizontal="center" vertical="center" wrapText="1"/>
      <protection locked="0"/>
    </xf>
    <xf numFmtId="164" fontId="17" fillId="4" borderId="4" xfId="0" applyNumberFormat="1" applyFont="1" applyFill="1" applyBorder="1" applyAlignment="1" applyProtection="1">
      <alignment horizontal="center" vertical="center" wrapText="1"/>
      <protection locked="0"/>
    </xf>
    <xf numFmtId="2" fontId="5" fillId="5" borderId="2" xfId="0" applyNumberFormat="1" applyFont="1" applyFill="1" applyBorder="1" applyAlignment="1">
      <alignment horizontal="center" vertical="center"/>
    </xf>
    <xf numFmtId="2" fontId="5" fillId="5" borderId="5" xfId="0" applyNumberFormat="1" applyFont="1" applyFill="1" applyBorder="1" applyAlignment="1">
      <alignment horizontal="center" vertical="center"/>
    </xf>
    <xf numFmtId="165" fontId="4" fillId="4" borderId="2" xfId="0" applyNumberFormat="1" applyFont="1" applyFill="1" applyBorder="1" applyAlignment="1" applyProtection="1">
      <alignment horizontal="center" vertical="center"/>
      <protection locked="0"/>
    </xf>
    <xf numFmtId="165" fontId="4" fillId="4" borderId="5" xfId="0" applyNumberFormat="1" applyFont="1" applyFill="1" applyBorder="1" applyAlignment="1" applyProtection="1">
      <alignment horizontal="center" vertical="center"/>
      <protection locked="0"/>
    </xf>
    <xf numFmtId="1" fontId="16" fillId="6" borderId="2" xfId="0" applyNumberFormat="1" applyFont="1" applyFill="1" applyBorder="1" applyAlignment="1">
      <alignment horizontal="center" vertical="center"/>
    </xf>
    <xf numFmtId="1" fontId="16" fillId="6" borderId="5" xfId="0" applyNumberFormat="1" applyFont="1" applyFill="1" applyBorder="1" applyAlignment="1">
      <alignment horizontal="center" vertical="center"/>
    </xf>
    <xf numFmtId="0" fontId="13" fillId="3" borderId="8"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9"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6" xfId="0" applyFont="1" applyFill="1" applyBorder="1" applyAlignment="1">
      <alignment horizontal="center" vertical="center" wrapText="1"/>
    </xf>
    <xf numFmtId="1" fontId="16" fillId="6" borderId="3" xfId="0" applyNumberFormat="1" applyFont="1" applyFill="1" applyBorder="1" applyAlignment="1">
      <alignment horizontal="center" vertical="center"/>
    </xf>
    <xf numFmtId="1" fontId="16" fillId="6" borderId="6" xfId="0" applyNumberFormat="1" applyFont="1" applyFill="1" applyBorder="1" applyAlignment="1">
      <alignment horizontal="center" vertical="center"/>
    </xf>
    <xf numFmtId="168" fontId="3" fillId="6" borderId="4" xfId="0" applyNumberFormat="1" applyFont="1" applyFill="1" applyBorder="1" applyAlignment="1">
      <alignment horizontal="center" vertical="center"/>
    </xf>
    <xf numFmtId="168" fontId="3" fillId="6" borderId="5" xfId="0" applyNumberFormat="1" applyFont="1" applyFill="1" applyBorder="1" applyAlignment="1">
      <alignment horizontal="center" vertical="center"/>
    </xf>
    <xf numFmtId="168" fontId="3" fillId="6" borderId="6" xfId="0" applyNumberFormat="1" applyFont="1" applyFill="1" applyBorder="1" applyAlignment="1">
      <alignment horizontal="center" vertical="center"/>
    </xf>
    <xf numFmtId="0" fontId="1" fillId="6" borderId="1" xfId="0" applyFont="1" applyFill="1" applyBorder="1" applyAlignment="1">
      <alignment horizontal="center"/>
    </xf>
    <xf numFmtId="0" fontId="1" fillId="6" borderId="2" xfId="0" applyFont="1" applyFill="1" applyBorder="1" applyAlignment="1">
      <alignment horizontal="center"/>
    </xf>
    <xf numFmtId="0" fontId="1" fillId="6" borderId="3" xfId="0" applyFont="1" applyFill="1" applyBorder="1" applyAlignment="1">
      <alignment horizontal="center"/>
    </xf>
    <xf numFmtId="0" fontId="1" fillId="3" borderId="30" xfId="0" applyFont="1" applyFill="1" applyBorder="1" applyAlignment="1">
      <alignment horizontal="center"/>
    </xf>
    <xf numFmtId="0" fontId="1" fillId="3" borderId="31" xfId="0" applyFont="1" applyFill="1" applyBorder="1" applyAlignment="1">
      <alignment horizontal="center"/>
    </xf>
    <xf numFmtId="0" fontId="1" fillId="3" borderId="32" xfId="0" applyFont="1" applyFill="1" applyBorder="1" applyAlignment="1">
      <alignment horizontal="center"/>
    </xf>
    <xf numFmtId="169" fontId="20" fillId="5" borderId="29" xfId="1" applyNumberFormat="1" applyFont="1" applyFill="1" applyBorder="1" applyAlignment="1">
      <alignment horizontal="center" vertical="center"/>
    </xf>
    <xf numFmtId="0" fontId="1" fillId="3" borderId="2" xfId="0" applyFont="1" applyFill="1" applyBorder="1" applyAlignment="1">
      <alignment horizontal="center"/>
    </xf>
    <xf numFmtId="0" fontId="1" fillId="3" borderId="0" xfId="0" applyFont="1" applyFill="1" applyAlignment="1">
      <alignment horizontal="right" vertical="center" wrapText="1"/>
    </xf>
    <xf numFmtId="0" fontId="1" fillId="4" borderId="26" xfId="0" applyFont="1" applyFill="1" applyBorder="1" applyAlignment="1" applyProtection="1">
      <alignment horizontal="center"/>
      <protection locked="0"/>
    </xf>
    <xf numFmtId="0" fontId="1" fillId="4" borderId="28" xfId="0" applyFont="1" applyFill="1" applyBorder="1" applyAlignment="1" applyProtection="1">
      <alignment horizontal="center"/>
      <protection locked="0"/>
    </xf>
    <xf numFmtId="166" fontId="7" fillId="7" borderId="1" xfId="0" applyNumberFormat="1" applyFont="1" applyFill="1" applyBorder="1" applyAlignment="1">
      <alignment horizontal="center" vertical="center"/>
    </xf>
    <xf numFmtId="166" fontId="7" fillId="7" borderId="3" xfId="0" applyNumberFormat="1" applyFont="1" applyFill="1" applyBorder="1" applyAlignment="1">
      <alignment horizontal="center" vertical="center"/>
    </xf>
    <xf numFmtId="166" fontId="7" fillId="7" borderId="4" xfId="0" applyNumberFormat="1" applyFont="1" applyFill="1" applyBorder="1" applyAlignment="1">
      <alignment horizontal="center" vertical="center"/>
    </xf>
    <xf numFmtId="166" fontId="7" fillId="7" borderId="6" xfId="0" applyNumberFormat="1" applyFont="1" applyFill="1" applyBorder="1" applyAlignment="1">
      <alignment horizontal="center" vertical="center"/>
    </xf>
    <xf numFmtId="0" fontId="1" fillId="3" borderId="0" xfId="0" applyFont="1" applyFill="1" applyAlignment="1">
      <alignment horizontal="right" wrapText="1"/>
    </xf>
    <xf numFmtId="0" fontId="1" fillId="3" borderId="0" xfId="0" applyFont="1" applyFill="1" applyAlignment="1">
      <alignment horizontal="right"/>
    </xf>
    <xf numFmtId="0" fontId="1" fillId="4" borderId="27" xfId="0" applyFont="1" applyFill="1" applyBorder="1" applyAlignment="1" applyProtection="1">
      <alignment horizontal="center"/>
      <protection locked="0"/>
    </xf>
    <xf numFmtId="0" fontId="3" fillId="3" borderId="7" xfId="0" applyFont="1" applyFill="1" applyBorder="1" applyAlignment="1">
      <alignment horizontal="center"/>
    </xf>
    <xf numFmtId="167" fontId="9" fillId="4" borderId="26" xfId="0" applyNumberFormat="1" applyFont="1" applyFill="1" applyBorder="1" applyAlignment="1" applyProtection="1">
      <alignment horizontal="center"/>
      <protection locked="0"/>
    </xf>
    <xf numFmtId="167" fontId="9" fillId="4" borderId="28" xfId="0" applyNumberFormat="1" applyFont="1" applyFill="1" applyBorder="1" applyAlignment="1" applyProtection="1">
      <alignment horizontal="center"/>
      <protection locked="0"/>
    </xf>
    <xf numFmtId="0" fontId="12" fillId="3" borderId="13" xfId="0" applyFont="1" applyFill="1" applyBorder="1" applyAlignment="1">
      <alignment horizontal="center" vertical="center" wrapText="1"/>
    </xf>
    <xf numFmtId="0" fontId="12" fillId="3" borderId="0" xfId="0" applyFont="1" applyFill="1" applyAlignment="1">
      <alignment horizontal="center" vertical="center" wrapText="1"/>
    </xf>
    <xf numFmtId="0" fontId="10" fillId="4" borderId="26" xfId="0" applyFont="1" applyFill="1" applyBorder="1" applyAlignment="1" applyProtection="1">
      <alignment horizontal="center"/>
      <protection locked="0"/>
    </xf>
    <xf numFmtId="0" fontId="10" fillId="4" borderId="27" xfId="0" applyFont="1" applyFill="1" applyBorder="1" applyAlignment="1" applyProtection="1">
      <alignment horizontal="center"/>
      <protection locked="0"/>
    </xf>
    <xf numFmtId="0" fontId="10" fillId="4" borderId="6" xfId="0" applyFont="1" applyFill="1" applyBorder="1" applyAlignment="1" applyProtection="1">
      <alignment horizontal="center"/>
      <protection locked="0"/>
    </xf>
    <xf numFmtId="0" fontId="1" fillId="3" borderId="9" xfId="0" applyFont="1" applyFill="1" applyBorder="1" applyAlignment="1">
      <alignment horizontal="right"/>
    </xf>
    <xf numFmtId="165" fontId="16" fillId="6" borderId="3" xfId="0" applyNumberFormat="1" applyFont="1" applyFill="1" applyBorder="1" applyAlignment="1">
      <alignment horizontal="center" vertical="center"/>
    </xf>
    <xf numFmtId="165" fontId="16" fillId="6" borderId="6" xfId="0" applyNumberFormat="1" applyFont="1" applyFill="1" applyBorder="1" applyAlignment="1">
      <alignment horizontal="center" vertical="center"/>
    </xf>
    <xf numFmtId="171" fontId="9" fillId="4" borderId="26" xfId="0" applyNumberFormat="1" applyFont="1" applyFill="1" applyBorder="1" applyAlignment="1" applyProtection="1">
      <alignment horizontal="center"/>
      <protection locked="0"/>
    </xf>
    <xf numFmtId="171" fontId="9" fillId="4" borderId="28" xfId="0" applyNumberFormat="1" applyFont="1" applyFill="1" applyBorder="1" applyAlignment="1" applyProtection="1">
      <alignment horizontal="center"/>
      <protection locked="0"/>
    </xf>
    <xf numFmtId="0" fontId="15" fillId="0" borderId="0" xfId="0" applyFont="1" applyAlignment="1">
      <alignment horizontal="center"/>
    </xf>
    <xf numFmtId="0" fontId="21" fillId="3" borderId="11" xfId="0" applyFont="1" applyFill="1" applyBorder="1" applyAlignment="1">
      <alignment horizontal="center" vertical="center" wrapText="1"/>
    </xf>
    <xf numFmtId="0" fontId="21" fillId="3" borderId="12" xfId="0" applyFont="1" applyFill="1" applyBorder="1" applyAlignment="1">
      <alignment horizontal="center" vertical="center" wrapText="1"/>
    </xf>
    <xf numFmtId="165" fontId="19" fillId="4" borderId="0" xfId="0" applyNumberFormat="1" applyFont="1" applyFill="1" applyAlignment="1" applyProtection="1">
      <alignment horizontal="center" vertical="center"/>
      <protection locked="0"/>
    </xf>
    <xf numFmtId="0" fontId="15"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xf>
    <xf numFmtId="0" fontId="15" fillId="7" borderId="26" xfId="0" applyFont="1" applyFill="1" applyBorder="1" applyAlignment="1">
      <alignment horizontal="center" vertical="center"/>
    </xf>
    <xf numFmtId="0" fontId="15" fillId="7" borderId="28" xfId="0" applyFont="1" applyFill="1" applyBorder="1" applyAlignment="1">
      <alignment vertical="center"/>
    </xf>
    <xf numFmtId="0" fontId="0" fillId="0" borderId="0" xfId="0" applyAlignment="1">
      <alignment horizontal="center" vertical="center"/>
    </xf>
    <xf numFmtId="0" fontId="0" fillId="8" borderId="0" xfId="0" applyFill="1" applyAlignment="1">
      <alignment horizontal="center" vertical="center" wrapText="1"/>
    </xf>
  </cellXfs>
  <cellStyles count="2">
    <cellStyle name="Normal" xfId="0" builtinId="0"/>
    <cellStyle name="Percent" xfId="1" builtinId="5"/>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50849395359323"/>
          <c:y val="4.8888888888888891E-2"/>
          <c:w val="0.75335509227149711"/>
          <c:h val="0.82128118985126863"/>
        </c:manualLayout>
      </c:layout>
      <c:scatterChart>
        <c:scatterStyle val="lineMarker"/>
        <c:varyColors val="0"/>
        <c:ser>
          <c:idx val="1"/>
          <c:order val="0"/>
          <c:spPr>
            <a:ln w="25400" cap="rnd">
              <a:solidFill>
                <a:srgbClr val="C00000"/>
              </a:solidFill>
              <a:prstDash val="dash"/>
              <a:round/>
              <a:tailEnd type="arrow"/>
            </a:ln>
            <a:effectLst/>
          </c:spPr>
          <c:marker>
            <c:symbol val="none"/>
          </c:marker>
          <c:xVal>
            <c:numRef>
              <c:f>Supplemental!$A$37:$A$39</c:f>
              <c:numCache>
                <c:formatCode>0</c:formatCode>
                <c:ptCount val="3"/>
                <c:pt idx="0">
                  <c:v>1625.2025117098678</c:v>
                </c:pt>
                <c:pt idx="1">
                  <c:v>1625.2025117098678</c:v>
                </c:pt>
              </c:numCache>
            </c:numRef>
          </c:xVal>
          <c:yVal>
            <c:numRef>
              <c:f>Supplemental!$B$37:$B$39</c:f>
              <c:numCache>
                <c:formatCode>General</c:formatCode>
                <c:ptCount val="3"/>
                <c:pt idx="0">
                  <c:v>0</c:v>
                </c:pt>
                <c:pt idx="1">
                  <c:v>2500</c:v>
                </c:pt>
              </c:numCache>
            </c:numRef>
          </c:yVal>
          <c:smooth val="0"/>
          <c:extLst>
            <c:ext xmlns:c16="http://schemas.microsoft.com/office/drawing/2014/chart" uri="{C3380CC4-5D6E-409C-BE32-E72D297353CC}">
              <c16:uniqueId val="{00000002-6A68-461C-B155-9E7481CDAA1A}"/>
            </c:ext>
          </c:extLst>
        </c:ser>
        <c:ser>
          <c:idx val="2"/>
          <c:order val="1"/>
          <c:spPr>
            <a:ln w="25400" cap="rnd">
              <a:solidFill>
                <a:srgbClr val="C00000"/>
              </a:solidFill>
              <a:prstDash val="dash"/>
              <a:round/>
              <a:headEnd type="arrow"/>
              <a:tailEnd type="oval"/>
            </a:ln>
            <a:effectLst/>
          </c:spPr>
          <c:marker>
            <c:symbol val="none"/>
          </c:marker>
          <c:xVal>
            <c:numRef>
              <c:f>Supplemental!$A$40:$A$41</c:f>
              <c:numCache>
                <c:formatCode>0</c:formatCode>
                <c:ptCount val="2"/>
                <c:pt idx="0" formatCode="General">
                  <c:v>0</c:v>
                </c:pt>
                <c:pt idx="1">
                  <c:v>1625.2025117098678</c:v>
                </c:pt>
              </c:numCache>
            </c:numRef>
          </c:xVal>
          <c:yVal>
            <c:numRef>
              <c:f>Supplemental!$B$40:$B$41</c:f>
              <c:numCache>
                <c:formatCode>General</c:formatCode>
                <c:ptCount val="2"/>
                <c:pt idx="0">
                  <c:v>2500</c:v>
                </c:pt>
                <c:pt idx="1">
                  <c:v>2500</c:v>
                </c:pt>
              </c:numCache>
            </c:numRef>
          </c:yVal>
          <c:smooth val="0"/>
          <c:extLst>
            <c:ext xmlns:c16="http://schemas.microsoft.com/office/drawing/2014/chart" uri="{C3380CC4-5D6E-409C-BE32-E72D297353CC}">
              <c16:uniqueId val="{00000003-6A68-461C-B155-9E7481CDAA1A}"/>
            </c:ext>
          </c:extLst>
        </c:ser>
        <c:ser>
          <c:idx val="3"/>
          <c:order val="2"/>
          <c:spPr>
            <a:ln w="25400" cap="rnd">
              <a:solidFill>
                <a:srgbClr val="C00000"/>
              </a:solidFill>
              <a:prstDash val="sysDot"/>
              <a:round/>
            </a:ln>
            <a:effectLst/>
          </c:spPr>
          <c:marker>
            <c:symbol val="none"/>
          </c:marker>
          <c:xVal>
            <c:numRef>
              <c:f>Supplemental!$A$32:$A$33</c:f>
              <c:numCache>
                <c:formatCode>0</c:formatCode>
                <c:ptCount val="2"/>
                <c:pt idx="0" formatCode="General">
                  <c:v>0</c:v>
                </c:pt>
                <c:pt idx="1">
                  <c:v>3746.3750000038372</c:v>
                </c:pt>
              </c:numCache>
            </c:numRef>
          </c:xVal>
          <c:yVal>
            <c:numRef>
              <c:f>Supplemental!$B$32:$B$33</c:f>
              <c:numCache>
                <c:formatCode>General</c:formatCode>
                <c:ptCount val="2"/>
                <c:pt idx="0">
                  <c:v>379.44900923195792</c:v>
                </c:pt>
                <c:pt idx="1">
                  <c:v>5267.6885737207649</c:v>
                </c:pt>
              </c:numCache>
            </c:numRef>
          </c:yVal>
          <c:smooth val="0"/>
          <c:extLst>
            <c:ext xmlns:c16="http://schemas.microsoft.com/office/drawing/2014/chart" uri="{C3380CC4-5D6E-409C-BE32-E72D297353CC}">
              <c16:uniqueId val="{00000001-A1C4-4D5F-BF6E-36FA2CDD9167}"/>
            </c:ext>
          </c:extLst>
        </c:ser>
        <c:ser>
          <c:idx val="0"/>
          <c:order val="3"/>
          <c:spPr>
            <a:ln w="19050" cap="rnd">
              <a:noFill/>
              <a:round/>
            </a:ln>
            <a:effectLst/>
          </c:spPr>
          <c:marker>
            <c:symbol val="circle"/>
            <c:size val="7"/>
            <c:spPr>
              <a:solidFill>
                <a:schemeClr val="accent6"/>
              </a:solidFill>
              <a:ln w="9525">
                <a:solidFill>
                  <a:schemeClr val="accent6"/>
                </a:solidFill>
              </a:ln>
              <a:effectLst/>
            </c:spPr>
          </c:marker>
          <c:xVal>
            <c:numRef>
              <c:f>Supplemental!$A$5:$A$12</c:f>
              <c:numCache>
                <c:formatCode>0</c:formatCode>
                <c:ptCount val="8"/>
                <c:pt idx="0">
                  <c:v>534.5</c:v>
                </c:pt>
                <c:pt idx="1">
                  <c:v>731.5</c:v>
                </c:pt>
                <c:pt idx="2">
                  <c:v>951.80555555921944</c:v>
                </c:pt>
                <c:pt idx="3">
                  <c:v>1477.3888888889537</c:v>
                </c:pt>
                <c:pt idx="4">
                  <c:v>2048.6388888889537</c:v>
                </c:pt>
                <c:pt idx="5">
                  <c:v>2243.0555555556202</c:v>
                </c:pt>
                <c:pt idx="6">
                  <c:v>3130.7222222222872</c:v>
                </c:pt>
                <c:pt idx="7">
                  <c:v>3746.3750000038372</c:v>
                </c:pt>
              </c:numCache>
            </c:numRef>
          </c:xVal>
          <c:yVal>
            <c:numRef>
              <c:f>Supplemental!$B$5:$B$12</c:f>
              <c:numCache>
                <c:formatCode>0</c:formatCode>
                <c:ptCount val="8"/>
                <c:pt idx="0">
                  <c:v>680</c:v>
                </c:pt>
                <c:pt idx="1">
                  <c:v>1000</c:v>
                </c:pt>
                <c:pt idx="2">
                  <c:v>2000</c:v>
                </c:pt>
                <c:pt idx="3">
                  <c:v>2100</c:v>
                </c:pt>
                <c:pt idx="4">
                  <c:v>2400</c:v>
                </c:pt>
                <c:pt idx="5">
                  <c:v>4950</c:v>
                </c:pt>
                <c:pt idx="6">
                  <c:v>5000</c:v>
                </c:pt>
                <c:pt idx="7">
                  <c:v>4300</c:v>
                </c:pt>
              </c:numCache>
            </c:numRef>
          </c:yVal>
          <c:smooth val="0"/>
          <c:extLst>
            <c:ext xmlns:c16="http://schemas.microsoft.com/office/drawing/2014/chart" uri="{C3380CC4-5D6E-409C-BE32-E72D297353CC}">
              <c16:uniqueId val="{00000002-A1C4-4D5F-BF6E-36FA2CDD9167}"/>
            </c:ext>
          </c:extLst>
        </c:ser>
        <c:dLbls>
          <c:showLegendKey val="0"/>
          <c:showVal val="0"/>
          <c:showCatName val="0"/>
          <c:showSerName val="0"/>
          <c:showPercent val="0"/>
          <c:showBubbleSize val="0"/>
        </c:dLbls>
        <c:axId val="881516856"/>
        <c:axId val="881518968"/>
      </c:scatterChart>
      <c:valAx>
        <c:axId val="88151685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TTF (°C-hr)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81518968"/>
        <c:crosses val="autoZero"/>
        <c:crossBetween val="midCat"/>
      </c:valAx>
      <c:valAx>
        <c:axId val="8815189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Strength (psi)</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81516856"/>
        <c:crosses val="autoZero"/>
        <c:crossBetween val="midCat"/>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50849395359323"/>
          <c:y val="4.8888888888888891E-2"/>
          <c:w val="0.75335509227149711"/>
          <c:h val="0.82128118985126863"/>
        </c:manualLayout>
      </c:layout>
      <c:scatterChart>
        <c:scatterStyle val="lineMarker"/>
        <c:varyColors val="0"/>
        <c:ser>
          <c:idx val="1"/>
          <c:order val="0"/>
          <c:spPr>
            <a:ln w="19050" cap="rnd">
              <a:solidFill>
                <a:srgbClr val="C00000"/>
              </a:solidFill>
              <a:prstDash val="dash"/>
              <a:round/>
              <a:tailEnd type="arrow"/>
            </a:ln>
            <a:effectLst/>
          </c:spPr>
          <c:marker>
            <c:symbol val="none"/>
          </c:marker>
          <c:xVal>
            <c:numRef>
              <c:f>Supplemental!$E$37:$E$38</c:f>
              <c:numCache>
                <c:formatCode>0</c:formatCode>
                <c:ptCount val="2"/>
                <c:pt idx="0">
                  <c:v>681.2864075993881</c:v>
                </c:pt>
                <c:pt idx="1">
                  <c:v>681.2864075993881</c:v>
                </c:pt>
              </c:numCache>
            </c:numRef>
          </c:xVal>
          <c:yVal>
            <c:numRef>
              <c:f>Supplemental!$F$37:$F$38</c:f>
              <c:numCache>
                <c:formatCode>General</c:formatCode>
                <c:ptCount val="2"/>
                <c:pt idx="0">
                  <c:v>0</c:v>
                </c:pt>
                <c:pt idx="1">
                  <c:v>17</c:v>
                </c:pt>
              </c:numCache>
            </c:numRef>
          </c:yVal>
          <c:smooth val="0"/>
          <c:extLst>
            <c:ext xmlns:c16="http://schemas.microsoft.com/office/drawing/2014/chart" uri="{C3380CC4-5D6E-409C-BE32-E72D297353CC}">
              <c16:uniqueId val="{00000000-98A5-4E5B-B4E5-3FBF1F9B4EF3}"/>
            </c:ext>
          </c:extLst>
        </c:ser>
        <c:ser>
          <c:idx val="2"/>
          <c:order val="1"/>
          <c:spPr>
            <a:ln w="19050" cap="rnd">
              <a:solidFill>
                <a:srgbClr val="C00000"/>
              </a:solidFill>
              <a:prstDash val="dash"/>
              <a:round/>
              <a:headEnd type="arrow"/>
              <a:tailEnd type="oval"/>
            </a:ln>
            <a:effectLst/>
          </c:spPr>
          <c:marker>
            <c:symbol val="none"/>
          </c:marker>
          <c:xVal>
            <c:numRef>
              <c:f>Supplemental!$E$40:$E$41</c:f>
              <c:numCache>
                <c:formatCode>0</c:formatCode>
                <c:ptCount val="2"/>
                <c:pt idx="0" formatCode="General">
                  <c:v>0</c:v>
                </c:pt>
                <c:pt idx="1">
                  <c:v>681.2864075993881</c:v>
                </c:pt>
              </c:numCache>
            </c:numRef>
          </c:xVal>
          <c:yVal>
            <c:numRef>
              <c:f>Supplemental!$F$40:$F$41</c:f>
              <c:numCache>
                <c:formatCode>General</c:formatCode>
                <c:ptCount val="2"/>
                <c:pt idx="0">
                  <c:v>17</c:v>
                </c:pt>
                <c:pt idx="1">
                  <c:v>17</c:v>
                </c:pt>
              </c:numCache>
            </c:numRef>
          </c:yVal>
          <c:smooth val="0"/>
          <c:extLst>
            <c:ext xmlns:c16="http://schemas.microsoft.com/office/drawing/2014/chart" uri="{C3380CC4-5D6E-409C-BE32-E72D297353CC}">
              <c16:uniqueId val="{00000001-98A5-4E5B-B4E5-3FBF1F9B4EF3}"/>
            </c:ext>
          </c:extLst>
        </c:ser>
        <c:ser>
          <c:idx val="3"/>
          <c:order val="2"/>
          <c:spPr>
            <a:ln w="19050" cap="rnd">
              <a:solidFill>
                <a:srgbClr val="C00000"/>
              </a:solidFill>
              <a:prstDash val="sysDot"/>
              <a:round/>
            </a:ln>
            <a:effectLst/>
          </c:spPr>
          <c:marker>
            <c:symbol val="none"/>
          </c:marker>
          <c:xVal>
            <c:numRef>
              <c:f>Supplemental!$E$32:$E$33</c:f>
              <c:numCache>
                <c:formatCode>0</c:formatCode>
                <c:ptCount val="2"/>
                <c:pt idx="0" formatCode="General">
                  <c:v>0</c:v>
                </c:pt>
                <c:pt idx="1">
                  <c:v>3843.2250000041122</c:v>
                </c:pt>
              </c:numCache>
            </c:numRef>
          </c:xVal>
          <c:yVal>
            <c:numRef>
              <c:f>Supplemental!$F$32:$F$33</c:f>
              <c:numCache>
                <c:formatCode>General</c:formatCode>
                <c:ptCount val="2"/>
                <c:pt idx="0">
                  <c:v>13.093795627296652</c:v>
                </c:pt>
                <c:pt idx="1">
                  <c:v>35.129201196589229</c:v>
                </c:pt>
              </c:numCache>
            </c:numRef>
          </c:yVal>
          <c:smooth val="0"/>
          <c:extLst>
            <c:ext xmlns:c16="http://schemas.microsoft.com/office/drawing/2014/chart" uri="{C3380CC4-5D6E-409C-BE32-E72D297353CC}">
              <c16:uniqueId val="{00000002-98A5-4E5B-B4E5-3FBF1F9B4EF3}"/>
            </c:ext>
          </c:extLst>
        </c:ser>
        <c:ser>
          <c:idx val="0"/>
          <c:order val="3"/>
          <c:spPr>
            <a:ln w="19050" cap="rnd">
              <a:noFill/>
              <a:round/>
            </a:ln>
            <a:effectLst/>
          </c:spPr>
          <c:marker>
            <c:symbol val="circle"/>
            <c:size val="7"/>
            <c:spPr>
              <a:solidFill>
                <a:schemeClr val="accent6"/>
              </a:solidFill>
              <a:ln w="9525">
                <a:solidFill>
                  <a:schemeClr val="accent6"/>
                </a:solidFill>
              </a:ln>
              <a:effectLst/>
            </c:spPr>
          </c:marker>
          <c:xVal>
            <c:numRef>
              <c:f>Supplemental!$E$5:$E$12</c:f>
              <c:numCache>
                <c:formatCode>General</c:formatCode>
                <c:ptCount val="8"/>
                <c:pt idx="0">
                  <c:v>603.44999999999993</c:v>
                </c:pt>
                <c:pt idx="1">
                  <c:v>805.34999999999991</c:v>
                </c:pt>
                <c:pt idx="2">
                  <c:v>1035.4750000038271</c:v>
                </c:pt>
                <c:pt idx="3">
                  <c:v>1576.0750000001251</c:v>
                </c:pt>
                <c:pt idx="4">
                  <c:v>2155.225000000125</c:v>
                </c:pt>
                <c:pt idx="5">
                  <c:v>2354.8750000001251</c:v>
                </c:pt>
                <c:pt idx="6">
                  <c:v>3192.475000000125</c:v>
                </c:pt>
                <c:pt idx="7">
                  <c:v>3843.2250000041122</c:v>
                </c:pt>
              </c:numCache>
            </c:numRef>
          </c:xVal>
          <c:yVal>
            <c:numRef>
              <c:f>Supplemental!$F$5:$F$12</c:f>
              <c:numCache>
                <c:formatCode>General</c:formatCode>
                <c:ptCount val="8"/>
                <c:pt idx="0">
                  <c:v>12.5</c:v>
                </c:pt>
                <c:pt idx="1">
                  <c:v>20</c:v>
                </c:pt>
                <c:pt idx="2">
                  <c:v>21</c:v>
                </c:pt>
                <c:pt idx="3">
                  <c:v>23.05</c:v>
                </c:pt>
                <c:pt idx="4">
                  <c:v>23.55</c:v>
                </c:pt>
                <c:pt idx="5">
                  <c:v>27.7</c:v>
                </c:pt>
                <c:pt idx="6">
                  <c:v>31.6</c:v>
                </c:pt>
                <c:pt idx="7">
                  <c:v>34.6</c:v>
                </c:pt>
              </c:numCache>
            </c:numRef>
          </c:yVal>
          <c:smooth val="0"/>
          <c:extLst>
            <c:ext xmlns:c16="http://schemas.microsoft.com/office/drawing/2014/chart" uri="{C3380CC4-5D6E-409C-BE32-E72D297353CC}">
              <c16:uniqueId val="{00000003-98A5-4E5B-B4E5-3FBF1F9B4EF3}"/>
            </c:ext>
          </c:extLst>
        </c:ser>
        <c:dLbls>
          <c:showLegendKey val="0"/>
          <c:showVal val="0"/>
          <c:showCatName val="0"/>
          <c:showSerName val="0"/>
          <c:showPercent val="0"/>
          <c:showBubbleSize val="0"/>
        </c:dLbls>
        <c:axId val="881516856"/>
        <c:axId val="881518968"/>
      </c:scatterChart>
      <c:valAx>
        <c:axId val="88151685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TTF (°C-hr)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0"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81518968"/>
        <c:crosses val="autoZero"/>
        <c:crossBetween val="midCat"/>
      </c:valAx>
      <c:valAx>
        <c:axId val="8815189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r>
                  <a:rPr lang="en-US">
                    <a:latin typeface="Arial" panose="020B0604020202020204" pitchFamily="34" charset="0"/>
                    <a:cs typeface="Arial" panose="020B0604020202020204" pitchFamily="34" charset="0"/>
                  </a:rPr>
                  <a:t>Strength (MPa)</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881516856"/>
        <c:crosses val="autoZero"/>
        <c:crossBetween val="midCat"/>
      </c:valAx>
      <c:spPr>
        <a:noFill/>
        <a:ln>
          <a:solidFill>
            <a:schemeClr val="tx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19051</xdr:colOff>
      <xdr:row>28</xdr:row>
      <xdr:rowOff>39687</xdr:rowOff>
    </xdr:from>
    <xdr:to>
      <xdr:col>5</xdr:col>
      <xdr:colOff>208360</xdr:colOff>
      <xdr:row>41</xdr:row>
      <xdr:rowOff>190500</xdr:rowOff>
    </xdr:to>
    <xdr:graphicFrame macro="">
      <xdr:nvGraphicFramePr>
        <xdr:cNvPr id="2" name="Chart 1">
          <a:extLst>
            <a:ext uri="{FF2B5EF4-FFF2-40B4-BE49-F238E27FC236}">
              <a16:creationId xmlns:a16="http://schemas.microsoft.com/office/drawing/2014/main" id="{783E8BB5-9868-A6AA-6910-1D7D28542C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19051</xdr:colOff>
      <xdr:row>28</xdr:row>
      <xdr:rowOff>39687</xdr:rowOff>
    </xdr:from>
    <xdr:to>
      <xdr:col>4</xdr:col>
      <xdr:colOff>208360</xdr:colOff>
      <xdr:row>41</xdr:row>
      <xdr:rowOff>190500</xdr:rowOff>
    </xdr:to>
    <xdr:graphicFrame macro="">
      <xdr:nvGraphicFramePr>
        <xdr:cNvPr id="2" name="Chart 1">
          <a:extLst>
            <a:ext uri="{FF2B5EF4-FFF2-40B4-BE49-F238E27FC236}">
              <a16:creationId xmlns:a16="http://schemas.microsoft.com/office/drawing/2014/main" id="{0B97B2EB-A211-4783-8775-D6A796CB88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4A5AB-B744-474C-92C8-C8683F4D6AB7}">
  <dimension ref="A1:I41"/>
  <sheetViews>
    <sheetView tabSelected="1" view="pageLayout" zoomScaleNormal="100" workbookViewId="0">
      <selection activeCell="C41" sqref="C41"/>
    </sheetView>
  </sheetViews>
  <sheetFormatPr defaultRowHeight="15.75" x14ac:dyDescent="0.25"/>
  <cols>
    <col min="1" max="16384" width="9" style="7"/>
  </cols>
  <sheetData>
    <row r="1" spans="1:9" ht="58.5" customHeight="1" x14ac:dyDescent="0.4">
      <c r="A1" s="39" t="s">
        <v>41</v>
      </c>
      <c r="B1" s="40"/>
      <c r="C1" s="40"/>
      <c r="D1" s="40"/>
      <c r="E1" s="40"/>
      <c r="F1" s="40"/>
      <c r="G1" s="40"/>
      <c r="H1" s="40"/>
      <c r="I1" s="41"/>
    </row>
    <row r="2" spans="1:9" ht="15.75" customHeight="1" x14ac:dyDescent="0.25">
      <c r="A2" s="42" t="s">
        <v>14</v>
      </c>
      <c r="B2" s="43"/>
      <c r="C2" s="43"/>
      <c r="D2" s="43"/>
      <c r="E2" s="43"/>
      <c r="F2" s="43"/>
      <c r="G2" s="43"/>
      <c r="H2" s="43"/>
      <c r="I2" s="44"/>
    </row>
    <row r="3" spans="1:9" x14ac:dyDescent="0.25">
      <c r="A3" s="45"/>
      <c r="B3" s="46"/>
      <c r="C3" s="46"/>
      <c r="D3" s="46"/>
      <c r="E3" s="46"/>
      <c r="F3" s="46"/>
      <c r="G3" s="46"/>
      <c r="H3" s="46"/>
      <c r="I3" s="47"/>
    </row>
    <row r="4" spans="1:9" x14ac:dyDescent="0.25">
      <c r="A4" s="45"/>
      <c r="B4" s="46"/>
      <c r="C4" s="46"/>
      <c r="D4" s="46"/>
      <c r="E4" s="46"/>
      <c r="F4" s="46"/>
      <c r="G4" s="46"/>
      <c r="H4" s="46"/>
      <c r="I4" s="47"/>
    </row>
    <row r="5" spans="1:9" x14ac:dyDescent="0.25">
      <c r="A5" s="48"/>
      <c r="B5" s="49"/>
      <c r="C5" s="49"/>
      <c r="D5" s="49"/>
      <c r="E5" s="49"/>
      <c r="F5" s="49"/>
      <c r="G5" s="49"/>
      <c r="H5" s="49"/>
      <c r="I5" s="50"/>
    </row>
    <row r="7" spans="1:9" x14ac:dyDescent="0.25">
      <c r="A7" s="42" t="s">
        <v>15</v>
      </c>
      <c r="B7" s="43"/>
      <c r="C7" s="43"/>
      <c r="D7" s="43"/>
      <c r="E7" s="43"/>
      <c r="F7" s="43"/>
      <c r="G7" s="43"/>
      <c r="H7" s="43"/>
      <c r="I7" s="44"/>
    </row>
    <row r="8" spans="1:9" x14ac:dyDescent="0.25">
      <c r="A8" s="48"/>
      <c r="B8" s="49"/>
      <c r="C8" s="49"/>
      <c r="D8" s="49"/>
      <c r="E8" s="49"/>
      <c r="F8" s="49"/>
      <c r="G8" s="49"/>
      <c r="H8" s="49"/>
      <c r="I8" s="50"/>
    </row>
    <row r="10" spans="1:9" x14ac:dyDescent="0.25">
      <c r="A10" s="42" t="s">
        <v>16</v>
      </c>
      <c r="B10" s="43"/>
      <c r="C10" s="43"/>
      <c r="D10" s="43"/>
      <c r="E10" s="43"/>
      <c r="F10" s="43"/>
      <c r="G10" s="43"/>
      <c r="H10" s="43"/>
      <c r="I10" s="44"/>
    </row>
    <row r="11" spans="1:9" x14ac:dyDescent="0.25">
      <c r="A11" s="45"/>
      <c r="B11" s="46"/>
      <c r="C11" s="46"/>
      <c r="D11" s="46"/>
      <c r="E11" s="46"/>
      <c r="F11" s="46"/>
      <c r="G11" s="46"/>
      <c r="H11" s="46"/>
      <c r="I11" s="47"/>
    </row>
    <row r="12" spans="1:9" x14ac:dyDescent="0.25">
      <c r="A12" s="48"/>
      <c r="B12" s="49"/>
      <c r="C12" s="49"/>
      <c r="D12" s="49"/>
      <c r="E12" s="49"/>
      <c r="F12" s="49"/>
      <c r="G12" s="49"/>
      <c r="H12" s="49"/>
      <c r="I12" s="50"/>
    </row>
    <row r="14" spans="1:9" x14ac:dyDescent="0.25">
      <c r="A14" s="51" t="s">
        <v>50</v>
      </c>
      <c r="B14" s="52"/>
      <c r="C14" s="52"/>
      <c r="D14" s="52"/>
      <c r="E14" s="52"/>
      <c r="F14" s="52"/>
      <c r="G14" s="52"/>
      <c r="H14" s="52"/>
      <c r="I14" s="53"/>
    </row>
    <row r="15" spans="1:9" x14ac:dyDescent="0.25">
      <c r="A15" s="54"/>
      <c r="B15" s="55"/>
      <c r="C15" s="55"/>
      <c r="D15" s="55"/>
      <c r="E15" s="55"/>
      <c r="F15" s="55"/>
      <c r="G15" s="55"/>
      <c r="H15" s="55"/>
      <c r="I15" s="56"/>
    </row>
    <row r="16" spans="1:9" x14ac:dyDescent="0.25">
      <c r="A16" s="57"/>
      <c r="B16" s="58"/>
      <c r="C16" s="58"/>
      <c r="D16" s="58"/>
      <c r="E16" s="58"/>
      <c r="F16" s="58"/>
      <c r="G16" s="58"/>
      <c r="H16" s="58"/>
      <c r="I16" s="59"/>
    </row>
    <row r="18" spans="1:9" x14ac:dyDescent="0.25">
      <c r="A18" s="60" t="s">
        <v>17</v>
      </c>
      <c r="B18" s="61"/>
      <c r="C18" s="61"/>
      <c r="D18" s="61"/>
      <c r="E18" s="61"/>
      <c r="F18" s="61"/>
      <c r="G18" s="61"/>
      <c r="H18" s="61"/>
      <c r="I18" s="62"/>
    </row>
    <row r="19" spans="1:9" x14ac:dyDescent="0.25">
      <c r="A19" s="63"/>
      <c r="B19" s="64"/>
      <c r="C19" s="64"/>
      <c r="D19" s="64"/>
      <c r="E19" s="64"/>
      <c r="F19" s="64"/>
      <c r="G19" s="64"/>
      <c r="H19" s="64"/>
      <c r="I19" s="65"/>
    </row>
    <row r="21" spans="1:9" x14ac:dyDescent="0.25">
      <c r="A21" s="66" t="s">
        <v>18</v>
      </c>
      <c r="B21" s="67"/>
      <c r="C21" s="67"/>
      <c r="D21" s="67"/>
      <c r="E21" s="67"/>
      <c r="F21" s="67"/>
      <c r="G21" s="67"/>
      <c r="H21" s="67"/>
      <c r="I21" s="68"/>
    </row>
    <row r="22" spans="1:9" x14ac:dyDescent="0.25">
      <c r="A22" s="69"/>
      <c r="B22" s="70"/>
      <c r="C22" s="70"/>
      <c r="D22" s="70"/>
      <c r="E22" s="70"/>
      <c r="F22" s="70"/>
      <c r="G22" s="70"/>
      <c r="H22" s="70"/>
      <c r="I22" s="71"/>
    </row>
    <row r="24" spans="1:9" ht="15.75" customHeight="1" x14ac:dyDescent="0.25">
      <c r="A24" s="42" t="s">
        <v>47</v>
      </c>
      <c r="B24" s="43"/>
      <c r="C24" s="43"/>
      <c r="D24" s="43"/>
      <c r="E24" s="43"/>
      <c r="F24" s="43"/>
      <c r="G24" s="43"/>
      <c r="H24" s="43"/>
      <c r="I24" s="44"/>
    </row>
    <row r="25" spans="1:9" x14ac:dyDescent="0.25">
      <c r="A25" s="45"/>
      <c r="B25" s="46"/>
      <c r="C25" s="46"/>
      <c r="D25" s="46"/>
      <c r="E25" s="46"/>
      <c r="F25" s="46"/>
      <c r="G25" s="46"/>
      <c r="H25" s="46"/>
      <c r="I25" s="47"/>
    </row>
    <row r="26" spans="1:9" x14ac:dyDescent="0.25">
      <c r="A26" s="45"/>
      <c r="B26" s="46"/>
      <c r="C26" s="46"/>
      <c r="D26" s="46"/>
      <c r="E26" s="46"/>
      <c r="F26" s="46"/>
      <c r="G26" s="46"/>
      <c r="H26" s="46"/>
      <c r="I26" s="47"/>
    </row>
    <row r="27" spans="1:9" x14ac:dyDescent="0.25">
      <c r="A27" s="48"/>
      <c r="B27" s="49"/>
      <c r="C27" s="49"/>
      <c r="D27" s="49"/>
      <c r="E27" s="49"/>
      <c r="F27" s="49"/>
      <c r="G27" s="49"/>
      <c r="H27" s="49"/>
      <c r="I27" s="50"/>
    </row>
    <row r="29" spans="1:9" x14ac:dyDescent="0.25">
      <c r="A29" s="42" t="s">
        <v>48</v>
      </c>
      <c r="B29" s="43"/>
      <c r="C29" s="43"/>
      <c r="D29" s="43"/>
      <c r="E29" s="43"/>
      <c r="F29" s="43"/>
      <c r="G29" s="43"/>
      <c r="H29" s="43"/>
      <c r="I29" s="44"/>
    </row>
    <row r="30" spans="1:9" x14ac:dyDescent="0.25">
      <c r="A30" s="45"/>
      <c r="B30" s="46"/>
      <c r="C30" s="46"/>
      <c r="D30" s="46"/>
      <c r="E30" s="46"/>
      <c r="F30" s="46"/>
      <c r="G30" s="46"/>
      <c r="H30" s="46"/>
      <c r="I30" s="47"/>
    </row>
    <row r="31" spans="1:9" x14ac:dyDescent="0.25">
      <c r="A31" s="45"/>
      <c r="B31" s="46"/>
      <c r="C31" s="46"/>
      <c r="D31" s="46"/>
      <c r="E31" s="46"/>
      <c r="F31" s="46"/>
      <c r="G31" s="46"/>
      <c r="H31" s="46"/>
      <c r="I31" s="47"/>
    </row>
    <row r="32" spans="1:9" x14ac:dyDescent="0.25">
      <c r="A32" s="48"/>
      <c r="B32" s="49"/>
      <c r="C32" s="49"/>
      <c r="D32" s="49"/>
      <c r="E32" s="49"/>
      <c r="F32" s="49"/>
      <c r="G32" s="49"/>
      <c r="H32" s="49"/>
      <c r="I32" s="50"/>
    </row>
    <row r="34" spans="1:9" x14ac:dyDescent="0.25">
      <c r="A34" s="42" t="s">
        <v>49</v>
      </c>
      <c r="B34" s="43"/>
      <c r="C34" s="43"/>
      <c r="D34" s="43"/>
      <c r="E34" s="43"/>
      <c r="F34" s="43"/>
      <c r="G34" s="43"/>
      <c r="H34" s="43"/>
      <c r="I34" s="44"/>
    </row>
    <row r="35" spans="1:9" x14ac:dyDescent="0.25">
      <c r="A35" s="48"/>
      <c r="B35" s="49"/>
      <c r="C35" s="49"/>
      <c r="D35" s="49"/>
      <c r="E35" s="49"/>
      <c r="F35" s="49"/>
      <c r="G35" s="49"/>
      <c r="H35" s="49"/>
      <c r="I35" s="50"/>
    </row>
    <row r="41" spans="1:9" x14ac:dyDescent="0.25">
      <c r="C41" s="35"/>
    </row>
  </sheetData>
  <mergeCells count="10">
    <mergeCell ref="A29:I32"/>
    <mergeCell ref="A34:I35"/>
    <mergeCell ref="A14:I16"/>
    <mergeCell ref="A18:I19"/>
    <mergeCell ref="A21:I22"/>
    <mergeCell ref="A1:I1"/>
    <mergeCell ref="A2:I5"/>
    <mergeCell ref="A7:I8"/>
    <mergeCell ref="A10:I12"/>
    <mergeCell ref="A24:I2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3674D7-17A0-4FD7-819A-8A8DB41F4AFD}">
  <dimension ref="A1:L42"/>
  <sheetViews>
    <sheetView view="pageLayout" zoomScale="96" zoomScaleNormal="100" zoomScalePageLayoutView="96" workbookViewId="0">
      <selection activeCell="H14" sqref="H14"/>
    </sheetView>
  </sheetViews>
  <sheetFormatPr defaultRowHeight="15" x14ac:dyDescent="0.2"/>
  <cols>
    <col min="1" max="1" width="9.25" style="3" customWidth="1"/>
    <col min="2" max="2" width="14.25" style="3" customWidth="1"/>
    <col min="3" max="3" width="6" style="3" customWidth="1"/>
    <col min="4" max="5" width="6.75" style="3" customWidth="1"/>
    <col min="6" max="6" width="5.5" style="3" customWidth="1"/>
    <col min="7" max="7" width="5.125" style="3" customWidth="1"/>
    <col min="8" max="8" width="10.25" style="3" customWidth="1"/>
    <col min="9" max="9" width="10.375" style="3" customWidth="1"/>
    <col min="10" max="12" width="6.125" style="3" customWidth="1"/>
    <col min="13" max="13" width="9.75" style="3" bestFit="1" customWidth="1"/>
    <col min="14" max="14" width="9.625" style="3" bestFit="1" customWidth="1"/>
    <col min="15" max="16" width="9.5" style="3" bestFit="1" customWidth="1"/>
    <col min="17" max="16384" width="9" style="3"/>
  </cols>
  <sheetData>
    <row r="1" spans="1:10" ht="6" customHeight="1" thickBot="1" x14ac:dyDescent="0.25"/>
    <row r="2" spans="1:10" ht="15.75" thickBot="1" x14ac:dyDescent="0.25">
      <c r="B2" s="2" t="s">
        <v>0</v>
      </c>
      <c r="C2" s="100"/>
      <c r="D2" s="108"/>
      <c r="E2" s="101"/>
      <c r="F2" s="107" t="s">
        <v>30</v>
      </c>
      <c r="G2" s="107"/>
      <c r="H2" s="107"/>
      <c r="I2" s="100"/>
      <c r="J2" s="101"/>
    </row>
    <row r="3" spans="1:10" ht="15" customHeight="1" thickBot="1" x14ac:dyDescent="0.25">
      <c r="B3" s="2" t="s">
        <v>12</v>
      </c>
      <c r="C3" s="100"/>
      <c r="D3" s="108"/>
      <c r="E3" s="101"/>
      <c r="F3" s="99" t="s">
        <v>10</v>
      </c>
      <c r="G3" s="99"/>
      <c r="H3" s="99"/>
      <c r="I3" s="102">
        <v>-10</v>
      </c>
      <c r="J3" s="103"/>
    </row>
    <row r="4" spans="1:10" ht="15" customHeight="1" thickBot="1" x14ac:dyDescent="0.25">
      <c r="B4" s="2" t="s">
        <v>1</v>
      </c>
      <c r="C4" s="100"/>
      <c r="D4" s="108"/>
      <c r="E4" s="101"/>
      <c r="F4" s="99"/>
      <c r="G4" s="99"/>
      <c r="H4" s="99"/>
      <c r="I4" s="104"/>
      <c r="J4" s="105"/>
    </row>
    <row r="5" spans="1:10" ht="15.75" customHeight="1" thickBot="1" x14ac:dyDescent="0.3">
      <c r="A5" s="106" t="str">
        <f>_xlfn.CONCAT("Agency Specified Opening ", F6,":")</f>
        <v>Agency Specified Opening Compressive Strength:</v>
      </c>
      <c r="B5" s="106"/>
      <c r="C5" s="106"/>
      <c r="D5" s="106"/>
      <c r="E5" s="106"/>
      <c r="F5" s="106"/>
      <c r="G5" s="106"/>
      <c r="H5" s="106"/>
      <c r="I5" s="110">
        <v>2500</v>
      </c>
      <c r="J5" s="111"/>
    </row>
    <row r="6" spans="1:10" ht="15.75" customHeight="1" thickBot="1" x14ac:dyDescent="0.25">
      <c r="C6" s="107" t="s">
        <v>4</v>
      </c>
      <c r="D6" s="107"/>
      <c r="E6" s="117"/>
      <c r="F6" s="114" t="s">
        <v>5</v>
      </c>
      <c r="G6" s="115"/>
      <c r="H6" s="115"/>
      <c r="I6" s="116"/>
    </row>
    <row r="8" spans="1:10" ht="16.5" thickBot="1" x14ac:dyDescent="0.3">
      <c r="B8" s="109" t="s">
        <v>21</v>
      </c>
      <c r="C8" s="109"/>
      <c r="D8" s="109"/>
      <c r="E8" s="109"/>
      <c r="F8" s="109"/>
      <c r="G8" s="109"/>
      <c r="H8" s="109"/>
      <c r="I8" s="109"/>
    </row>
    <row r="9" spans="1:10" ht="12.75" customHeight="1" thickTop="1" x14ac:dyDescent="0.2">
      <c r="B9" s="112" t="s">
        <v>28</v>
      </c>
      <c r="C9" s="112"/>
      <c r="D9" s="112"/>
      <c r="E9" s="112"/>
      <c r="F9" s="112"/>
      <c r="G9" s="112"/>
      <c r="H9" s="112"/>
      <c r="I9" s="112"/>
    </row>
    <row r="10" spans="1:10" ht="16.5" customHeight="1" thickBot="1" x14ac:dyDescent="0.25">
      <c r="B10" s="113"/>
      <c r="C10" s="113"/>
      <c r="D10" s="113"/>
      <c r="E10" s="113"/>
      <c r="F10" s="113"/>
      <c r="G10" s="113"/>
      <c r="H10" s="113"/>
      <c r="I10" s="113"/>
    </row>
    <row r="11" spans="1:10" ht="51.75" customHeight="1" x14ac:dyDescent="0.2">
      <c r="A11" s="23" t="s">
        <v>19</v>
      </c>
      <c r="B11" s="4" t="s">
        <v>2</v>
      </c>
      <c r="C11" s="5" t="s">
        <v>3</v>
      </c>
      <c r="D11" s="5" t="s">
        <v>33</v>
      </c>
      <c r="E11" s="5" t="s">
        <v>8</v>
      </c>
      <c r="F11" s="5" t="s">
        <v>7</v>
      </c>
      <c r="G11" s="5" t="s">
        <v>9</v>
      </c>
      <c r="H11" s="123" t="str">
        <f>IF(ISBLANK($F$6),"Select Specimen",_xlfn.CONCAT($F$6," (psi)"))</f>
        <v>Compressive Strength (psi)</v>
      </c>
      <c r="I11" s="124" t="str">
        <f>_xlfn.CONCAT("Average ", LEFT(H11, LEN(H11) - 5),"(psi)")</f>
        <v>Average Compressive Strength (psi)</v>
      </c>
      <c r="J11" s="24" t="s">
        <v>23</v>
      </c>
    </row>
    <row r="12" spans="1:10" ht="29.25" thickBot="1" x14ac:dyDescent="0.25">
      <c r="A12" s="25" t="s">
        <v>29</v>
      </c>
      <c r="B12" s="16">
        <v>45291.541666666664</v>
      </c>
      <c r="C12" s="10">
        <v>0</v>
      </c>
      <c r="D12" s="8">
        <v>70</v>
      </c>
      <c r="E12" s="12">
        <f>IF(ISBLANK(D12),"",(D12-32)*(5/9))</f>
        <v>21.111111111111111</v>
      </c>
      <c r="F12" s="26">
        <v>0</v>
      </c>
      <c r="G12" s="8">
        <v>65</v>
      </c>
      <c r="H12" s="30"/>
      <c r="I12" s="31"/>
      <c r="J12" s="32"/>
    </row>
    <row r="13" spans="1:10" x14ac:dyDescent="0.2">
      <c r="A13" s="27">
        <v>1</v>
      </c>
      <c r="B13" s="72">
        <v>45292.291666666664</v>
      </c>
      <c r="C13" s="74">
        <f>IF(ISBLANK(B13),"",(B13-$B$12)*24)</f>
        <v>18</v>
      </c>
      <c r="D13" s="14">
        <v>65</v>
      </c>
      <c r="E13" s="15">
        <f t="shared" ref="E13:E14" si="0">IF(ISBLANK(D13),"",(D13-32)*(5/9))</f>
        <v>18.333333333333336</v>
      </c>
      <c r="F13" s="78">
        <f>IF(AND(ISNUMBER(E13),ISNUMBER(E14),ISNUMBER(C13)),((AVERAGE(E13:E14)+E12)/2-$I$3)*(C13-C12)+F12,"")</f>
        <v>534.5</v>
      </c>
      <c r="G13" s="76">
        <v>58</v>
      </c>
      <c r="H13" s="20">
        <v>700</v>
      </c>
      <c r="I13" s="86">
        <f>IF(AND(ISNUMBER(H13),ISNUMBER(H14)),ROUND(AVERAGE(H13,H14),-1),"")</f>
        <v>680</v>
      </c>
      <c r="J13" s="97">
        <f>IF(ISNUMBER(I13),ABS(H13-H14)/AVERAGE(H13,H14),"")</f>
        <v>7.407407407407407E-2</v>
      </c>
    </row>
    <row r="14" spans="1:10" ht="16.5" customHeight="1" thickBot="1" x14ac:dyDescent="0.25">
      <c r="A14" s="27">
        <v>2</v>
      </c>
      <c r="B14" s="73"/>
      <c r="C14" s="75"/>
      <c r="D14" s="9">
        <v>64.8</v>
      </c>
      <c r="E14" s="13">
        <f t="shared" si="0"/>
        <v>18.222222222222221</v>
      </c>
      <c r="F14" s="79"/>
      <c r="G14" s="77"/>
      <c r="H14" s="21">
        <v>650</v>
      </c>
      <c r="I14" s="87"/>
      <c r="J14" s="97"/>
    </row>
    <row r="15" spans="1:10" x14ac:dyDescent="0.2">
      <c r="A15" s="27">
        <v>3</v>
      </c>
      <c r="B15" s="72">
        <v>45292.541666666664</v>
      </c>
      <c r="C15" s="74">
        <f>IF(ISBLANK(B15),"",(B15-$B$12)*24)</f>
        <v>24</v>
      </c>
      <c r="D15" s="14">
        <v>81.2</v>
      </c>
      <c r="E15" s="15">
        <f t="shared" ref="E15:E16" si="1">IF(ISBLANK(D15),"",(D15-32)*(5/9))</f>
        <v>27.333333333333336</v>
      </c>
      <c r="F15" s="78">
        <f>IF(AND(ISNUMBER(E15),ISNUMBER(E16),ISNUMBER(C15),ISNUMBER(F13)),((AVERAGE(E15:E16)+AVERAGE(E13:E14))/2-$I$3)*(C15-C13)+F13,"")</f>
        <v>731.5</v>
      </c>
      <c r="G15" s="76">
        <v>74</v>
      </c>
      <c r="H15" s="20">
        <v>1000</v>
      </c>
      <c r="I15" s="86">
        <f>IF(AND(ISNUMBER(H15),ISNUMBER(H16),ISNUMBER(I13)),ROUND(AVERAGE(H15,H16),-1),"")</f>
        <v>1000</v>
      </c>
      <c r="J15" s="97">
        <f>IF(ISNUMBER(I15),ABS(H15-H16)/AVERAGE(H15,H16),"")</f>
        <v>0</v>
      </c>
    </row>
    <row r="16" spans="1:10" ht="16.5" customHeight="1" thickBot="1" x14ac:dyDescent="0.25">
      <c r="A16" s="27">
        <v>4</v>
      </c>
      <c r="B16" s="73"/>
      <c r="C16" s="75"/>
      <c r="D16" s="9">
        <v>81.400000000000006</v>
      </c>
      <c r="E16" s="13">
        <f t="shared" si="1"/>
        <v>27.44444444444445</v>
      </c>
      <c r="F16" s="79"/>
      <c r="G16" s="77"/>
      <c r="H16" s="21">
        <v>1000</v>
      </c>
      <c r="I16" s="87"/>
      <c r="J16" s="97"/>
    </row>
    <row r="17" spans="1:12" x14ac:dyDescent="0.2">
      <c r="A17" s="27">
        <v>5</v>
      </c>
      <c r="B17" s="72">
        <v>45292.833333333336</v>
      </c>
      <c r="C17" s="74">
        <f>IF(ISBLANK(B17),"",(B17-$B$12)*24)</f>
        <v>31.000000000116415</v>
      </c>
      <c r="D17" s="14">
        <v>60</v>
      </c>
      <c r="E17" s="15">
        <f t="shared" ref="E17:E26" si="2">IF(ISBLANK(D17),"",(D17-32)*(5/9))</f>
        <v>15.555555555555557</v>
      </c>
      <c r="F17" s="78">
        <f>IF(AND(ISNUMBER(E17),ISNUMBER(E18),ISNUMBER(C17),ISNUMBER(F15)),((AVERAGE(E17:E18)+AVERAGE(E15:E16))/2-$I$3)*(C17-C15)+F15,"")</f>
        <v>951.80555555921944</v>
      </c>
      <c r="G17" s="76">
        <v>59</v>
      </c>
      <c r="H17" s="20">
        <v>2000</v>
      </c>
      <c r="I17" s="86">
        <f>IF(AND(ISNUMBER(H17),ISNUMBER(H18),ISNUMBER(I15)),ROUND(AVERAGE(H17,H18),-1),"")</f>
        <v>2000</v>
      </c>
      <c r="J17" s="97">
        <f>IF(ISNUMBER(I17),ABS(H17-H18)/AVERAGE(H17,H18),"")</f>
        <v>0</v>
      </c>
    </row>
    <row r="18" spans="1:12" ht="15.75" customHeight="1" thickBot="1" x14ac:dyDescent="0.25">
      <c r="A18" s="27">
        <v>6</v>
      </c>
      <c r="B18" s="73"/>
      <c r="C18" s="75"/>
      <c r="D18" s="9">
        <v>60</v>
      </c>
      <c r="E18" s="13">
        <f t="shared" si="2"/>
        <v>15.555555555555557</v>
      </c>
      <c r="F18" s="79"/>
      <c r="G18" s="77"/>
      <c r="H18" s="21">
        <v>2000</v>
      </c>
      <c r="I18" s="87"/>
      <c r="J18" s="97"/>
    </row>
    <row r="19" spans="1:12" x14ac:dyDescent="0.2">
      <c r="A19" s="27">
        <v>7</v>
      </c>
      <c r="B19" s="72">
        <v>45293.541666666664</v>
      </c>
      <c r="C19" s="74">
        <f>IF(ISBLANK(B19),"",(B19-$B$12)*24)</f>
        <v>48</v>
      </c>
      <c r="D19" s="14">
        <v>79.5</v>
      </c>
      <c r="E19" s="15">
        <f t="shared" si="2"/>
        <v>26.388888888888889</v>
      </c>
      <c r="F19" s="78">
        <f>IF(AND(ISNUMBER(E19),ISNUMBER(E20),ISNUMBER(C19),ISNUMBER(F17)),((AVERAGE(E19:E20)+AVERAGE(E17:E18))/2-$I$3)*(C19-C17)+F17,"")</f>
        <v>1477.3888888889537</v>
      </c>
      <c r="G19" s="76">
        <v>73</v>
      </c>
      <c r="H19" s="20">
        <v>2100</v>
      </c>
      <c r="I19" s="86">
        <f>IF(AND(ISNUMBER(H19),ISNUMBER(H20),ISNUMBER(I17)),ROUND(AVERAGE(H19,H20),-1),"")</f>
        <v>2100</v>
      </c>
      <c r="J19" s="97">
        <f>IF(ISNUMBER(I19),ABS(H19-H20)/AVERAGE(H19,H20),"")</f>
        <v>0</v>
      </c>
    </row>
    <row r="20" spans="1:12" ht="16.5" customHeight="1" thickBot="1" x14ac:dyDescent="0.25">
      <c r="A20" s="27">
        <v>8</v>
      </c>
      <c r="B20" s="73"/>
      <c r="C20" s="75"/>
      <c r="D20" s="9">
        <v>79.099999999999994</v>
      </c>
      <c r="E20" s="13">
        <f t="shared" si="2"/>
        <v>26.166666666666664</v>
      </c>
      <c r="F20" s="79"/>
      <c r="G20" s="77"/>
      <c r="H20" s="21">
        <v>2100</v>
      </c>
      <c r="I20" s="87"/>
      <c r="J20" s="97"/>
      <c r="L20" s="33"/>
    </row>
    <row r="21" spans="1:12" x14ac:dyDescent="0.2">
      <c r="A21" s="27">
        <v>9</v>
      </c>
      <c r="B21" s="72">
        <v>45294.291666666664</v>
      </c>
      <c r="C21" s="74">
        <f>IF(ISBLANK(B21),"",(B21-$B$12)*24)</f>
        <v>66</v>
      </c>
      <c r="D21" s="14">
        <v>63.1</v>
      </c>
      <c r="E21" s="15">
        <f t="shared" si="2"/>
        <v>17.277777777777779</v>
      </c>
      <c r="F21" s="78">
        <f>IF(AND(ISNUMBER(E21),ISNUMBER(E22),ISNUMBER(C21),ISNUMBER(F19)),((AVERAGE(E21:E22)+AVERAGE(E19:E20))/2-$I$3)*(C21-C19)+F19,"")</f>
        <v>2048.6388888889537</v>
      </c>
      <c r="G21" s="76">
        <v>61</v>
      </c>
      <c r="H21" s="20">
        <v>2400</v>
      </c>
      <c r="I21" s="86">
        <f>IF(AND(ISNUMBER(H21),ISNUMBER(H22),ISNUMBER(I19)),ROUND(AVERAGE(H21,H22),-1),"")</f>
        <v>2400</v>
      </c>
      <c r="J21" s="97">
        <f>IF(ISNUMBER(I21),ABS(H21-H22)/AVERAGE(H21,H22),"")</f>
        <v>0</v>
      </c>
    </row>
    <row r="22" spans="1:12" ht="16.5" customHeight="1" thickBot="1" x14ac:dyDescent="0.25">
      <c r="A22" s="27">
        <v>10</v>
      </c>
      <c r="B22" s="73"/>
      <c r="C22" s="75"/>
      <c r="D22" s="9">
        <v>62.8</v>
      </c>
      <c r="E22" s="13">
        <f t="shared" si="2"/>
        <v>17.111111111111111</v>
      </c>
      <c r="F22" s="79"/>
      <c r="G22" s="77"/>
      <c r="H22" s="21">
        <v>2400</v>
      </c>
      <c r="I22" s="87"/>
      <c r="J22" s="97"/>
    </row>
    <row r="23" spans="1:12" x14ac:dyDescent="0.2">
      <c r="A23" s="27">
        <v>11</v>
      </c>
      <c r="B23" s="72">
        <v>45294.541666666664</v>
      </c>
      <c r="C23" s="74">
        <f>IF(ISBLANK(B23),"",(B23-$B$12)*24)</f>
        <v>72</v>
      </c>
      <c r="D23" s="14">
        <v>82</v>
      </c>
      <c r="E23" s="15">
        <f t="shared" si="2"/>
        <v>27.777777777777779</v>
      </c>
      <c r="F23" s="78">
        <f>IF(AND(ISNUMBER(E23),ISNUMBER(E24),ISNUMBER(C23),ISNUMBER(F21)),((AVERAGE(E23:E24)+AVERAGE(E21:E22))/2-$I$3)*(C23-C21)+F21,"")</f>
        <v>2243.0555555556202</v>
      </c>
      <c r="G23" s="76">
        <v>78</v>
      </c>
      <c r="H23" s="20">
        <v>4900</v>
      </c>
      <c r="I23" s="86">
        <f>IF(AND(ISNUMBER(H23),ISNUMBER(H24),ISNUMBER(I21)),ROUND(AVERAGE(H23,H24),-1),"")</f>
        <v>4950</v>
      </c>
      <c r="J23" s="97">
        <f>IF(ISNUMBER(I23),ABS(H23-H24)/AVERAGE(H23,H24),"")</f>
        <v>2.0202020202020204E-2</v>
      </c>
    </row>
    <row r="24" spans="1:12" ht="16.5" customHeight="1" thickBot="1" x14ac:dyDescent="0.25">
      <c r="A24" s="27">
        <v>12</v>
      </c>
      <c r="B24" s="73"/>
      <c r="C24" s="75"/>
      <c r="D24" s="9">
        <v>81.400000000000006</v>
      </c>
      <c r="E24" s="13">
        <f t="shared" si="2"/>
        <v>27.44444444444445</v>
      </c>
      <c r="F24" s="79"/>
      <c r="G24" s="77"/>
      <c r="H24" s="21">
        <v>5000</v>
      </c>
      <c r="I24" s="87"/>
      <c r="J24" s="97"/>
      <c r="L24" s="18"/>
    </row>
    <row r="25" spans="1:12" x14ac:dyDescent="0.2">
      <c r="A25" s="27">
        <v>13</v>
      </c>
      <c r="B25" s="72">
        <v>45295.541666666664</v>
      </c>
      <c r="C25" s="74">
        <f>IF(ISBLANK(B25),"",(B25-$B$12)*24)</f>
        <v>96</v>
      </c>
      <c r="D25" s="14">
        <v>79.3</v>
      </c>
      <c r="E25" s="15">
        <f t="shared" si="2"/>
        <v>26.277777777777779</v>
      </c>
      <c r="F25" s="78">
        <f>IF(AND(ISNUMBER(E25),ISNUMBER(E26),ISNUMBER(C25),ISNUMBER(F23)),((AVERAGE(E25:E26)+AVERAGE(E23:E24))/2-$I$3)*(C25-C23)+F23,"")</f>
        <v>3130.7222222222872</v>
      </c>
      <c r="G25" s="76">
        <v>77</v>
      </c>
      <c r="H25" s="20">
        <v>5000</v>
      </c>
      <c r="I25" s="86">
        <f>IF(AND(ISNUMBER(H25),ISNUMBER(H26),ISNUMBER(I23)),ROUND(AVERAGE(H25,H26),-1),"")</f>
        <v>5000</v>
      </c>
      <c r="J25" s="97">
        <f>IF(ISNUMBER(I25),ABS(H25-H26)/AVERAGE(H25,H26),"")</f>
        <v>0</v>
      </c>
    </row>
    <row r="26" spans="1:12" ht="15.75" customHeight="1" thickBot="1" x14ac:dyDescent="0.25">
      <c r="A26" s="27">
        <v>14</v>
      </c>
      <c r="B26" s="73"/>
      <c r="C26" s="75"/>
      <c r="D26" s="9">
        <v>79.599999999999994</v>
      </c>
      <c r="E26" s="13">
        <f t="shared" si="2"/>
        <v>26.444444444444443</v>
      </c>
      <c r="F26" s="79"/>
      <c r="G26" s="77"/>
      <c r="H26" s="21">
        <v>5000</v>
      </c>
      <c r="I26" s="87"/>
      <c r="J26" s="97"/>
    </row>
    <row r="27" spans="1:12" ht="15.75" thickBot="1" x14ac:dyDescent="0.25">
      <c r="A27" s="28">
        <v>15</v>
      </c>
      <c r="B27" s="17">
        <v>45296.333333333336</v>
      </c>
      <c r="C27" s="13">
        <f t="shared" ref="C27" si="3">IF(ISBLANK(B27),"",(B27-$B$12)*24)</f>
        <v>115.00000000011642</v>
      </c>
      <c r="D27" s="9">
        <v>65.2</v>
      </c>
      <c r="E27" s="13">
        <f t="shared" ref="E27" si="4">IF(ISBLANK(D27),"",(D27-32)*(5/9))</f>
        <v>18.444444444444446</v>
      </c>
      <c r="F27" s="22">
        <f>IF(AND(ISNUMBER(E27),ISNUMBER(C27),ISNUMBER(F25)),((E27+AVERAGE(E25:E26))/2-$I$3)*(C27-C25)+F25,"")</f>
        <v>3746.3750000038372</v>
      </c>
      <c r="G27" s="9">
        <v>62</v>
      </c>
      <c r="H27" s="21">
        <v>4300</v>
      </c>
      <c r="I27" s="34">
        <f>IF(AND(ISNUMBER(H27),ISNUMBER(I25)),ROUND(H27,-1),"")</f>
        <v>4300</v>
      </c>
      <c r="J27" s="29"/>
    </row>
    <row r="28" spans="1:12" ht="15.75" customHeight="1" thickBot="1" x14ac:dyDescent="0.25">
      <c r="A28" s="98" t="str">
        <f>_xlfn.CONCAT("Equation of Line: Strength = ",TEXT(Supplemental!B26, "0.00")," * TTF + ",TEXT(Supplemental!B27,"0.00"))</f>
        <v>Equation of Line: Strength = 1.30 * TTF + 379.45</v>
      </c>
      <c r="B28" s="98"/>
      <c r="C28" s="98"/>
      <c r="D28" s="98"/>
      <c r="E28" s="98"/>
    </row>
    <row r="29" spans="1:12" ht="15.75" customHeight="1" x14ac:dyDescent="0.2">
      <c r="G29" s="91" t="s">
        <v>11</v>
      </c>
      <c r="H29" s="92"/>
      <c r="I29" s="92"/>
      <c r="J29" s="93"/>
    </row>
    <row r="30" spans="1:12" ht="15.75" customHeight="1" thickBot="1" x14ac:dyDescent="0.25">
      <c r="G30" s="88">
        <f>Supplemental!A37</f>
        <v>1625.2025117098678</v>
      </c>
      <c r="H30" s="89"/>
      <c r="I30" s="89"/>
      <c r="J30" s="90"/>
    </row>
    <row r="31" spans="1:12" ht="9.75" customHeight="1" thickBot="1" x14ac:dyDescent="0.25"/>
    <row r="32" spans="1:12" ht="15.75" customHeight="1" thickBot="1" x14ac:dyDescent="0.25">
      <c r="G32" s="94" t="s">
        <v>20</v>
      </c>
      <c r="H32" s="95"/>
      <c r="I32" s="95"/>
      <c r="J32" s="96"/>
      <c r="L32" s="18"/>
    </row>
    <row r="33" spans="7:10" ht="15" customHeight="1" thickTop="1" x14ac:dyDescent="0.2">
      <c r="G33" s="80" t="str">
        <f>IF('Error Bits (US)'!D2=0,"No warnings present.",IF(MID(TEXT(DEC2BIN('Error Bits (US)'!$D$2, 8), "00000000"), 8, 1)="1", 'Error Bits (US)'!$A$9, "") &amp;
IF(MID(TEXT(DEC2BIN('Error Bits (US)'!$D$2, 8), "00000000"), 7, 1)="1",  'Error Bits (US)'!$A$8, "") &amp;
IF(MID(TEXT(DEC2BIN('Error Bits (US)'!$D$2, 8), "00000000"), 6, 1)="1",  'Error Bits (US)'!$A$7, "") &amp;
IF(MID(TEXT(DEC2BIN('Error Bits (US)'!$D$2, 8), "00000000"), 5, 1)="1",  'Error Bits (US)'!$A$6, "") &amp;
IF(MID(TEXT(DEC2BIN('Error Bits (US)'!$D$2, 8), "00000000"), 4, 1)="1",  'Error Bits (US)'!$A$5, "") &amp;
IF(MID(TEXT(DEC2BIN('Error Bits (US)'!$D$2, 8), "00000000"), 3, 1)="1",  'Error Bits (US)'!$A$4, "") &amp;
IF(MID(TEXT(DEC2BIN('Error Bits (US)'!$D$2, 8), "00000000"), 2, 1)="1",  'Error Bits (US)'!$A$3, "") &amp;
IF(MID(TEXT(DEC2BIN('Error Bits (US)'!$D$2, 8), "00000000"), 1, 1)="1", 'Error Bits (US)'!$A$2, ""))</f>
        <v xml:space="preserve">The quality of the linear relationship is relatively low (R2=0.76). Consider checking the data. </v>
      </c>
      <c r="H33" s="81"/>
      <c r="I33" s="81"/>
      <c r="J33" s="82"/>
    </row>
    <row r="34" spans="7:10" ht="15.75" customHeight="1" x14ac:dyDescent="0.2">
      <c r="G34" s="80"/>
      <c r="H34" s="81"/>
      <c r="I34" s="81"/>
      <c r="J34" s="82"/>
    </row>
    <row r="35" spans="7:10" ht="15.75" customHeight="1" x14ac:dyDescent="0.2">
      <c r="G35" s="80"/>
      <c r="H35" s="81"/>
      <c r="I35" s="81"/>
      <c r="J35" s="82"/>
    </row>
    <row r="36" spans="7:10" ht="15.75" customHeight="1" x14ac:dyDescent="0.2">
      <c r="G36" s="80"/>
      <c r="H36" s="81"/>
      <c r="I36" s="81"/>
      <c r="J36" s="82"/>
    </row>
    <row r="37" spans="7:10" ht="15.75" customHeight="1" x14ac:dyDescent="0.2">
      <c r="G37" s="80"/>
      <c r="H37" s="81"/>
      <c r="I37" s="81"/>
      <c r="J37" s="82"/>
    </row>
    <row r="38" spans="7:10" ht="15.75" customHeight="1" x14ac:dyDescent="0.2">
      <c r="G38" s="80"/>
      <c r="H38" s="81"/>
      <c r="I38" s="81"/>
      <c r="J38" s="82"/>
    </row>
    <row r="39" spans="7:10" ht="15.75" customHeight="1" x14ac:dyDescent="0.2">
      <c r="G39" s="80"/>
      <c r="H39" s="81"/>
      <c r="I39" s="81"/>
      <c r="J39" s="82"/>
    </row>
    <row r="40" spans="7:10" ht="15.75" customHeight="1" x14ac:dyDescent="0.2">
      <c r="G40" s="80"/>
      <c r="H40" s="81"/>
      <c r="I40" s="81"/>
      <c r="J40" s="82"/>
    </row>
    <row r="41" spans="7:10" ht="15.75" customHeight="1" x14ac:dyDescent="0.2">
      <c r="G41" s="80"/>
      <c r="H41" s="81"/>
      <c r="I41" s="81"/>
      <c r="J41" s="82"/>
    </row>
    <row r="42" spans="7:10" ht="15.75" customHeight="1" thickBot="1" x14ac:dyDescent="0.25">
      <c r="G42" s="83"/>
      <c r="H42" s="84"/>
      <c r="I42" s="84"/>
      <c r="J42" s="85"/>
    </row>
  </sheetData>
  <sheetProtection sheet="1" objects="1" scenarios="1" selectLockedCells="1"/>
  <mergeCells count="60">
    <mergeCell ref="A28:E28"/>
    <mergeCell ref="F3:H4"/>
    <mergeCell ref="I2:J2"/>
    <mergeCell ref="I3:J4"/>
    <mergeCell ref="A5:H5"/>
    <mergeCell ref="J13:J14"/>
    <mergeCell ref="F2:H2"/>
    <mergeCell ref="C2:E2"/>
    <mergeCell ref="C3:E3"/>
    <mergeCell ref="C4:E4"/>
    <mergeCell ref="I13:I14"/>
    <mergeCell ref="B8:I8"/>
    <mergeCell ref="I5:J5"/>
    <mergeCell ref="B9:I10"/>
    <mergeCell ref="F6:I6"/>
    <mergeCell ref="C6:E6"/>
    <mergeCell ref="I19:I20"/>
    <mergeCell ref="I21:I22"/>
    <mergeCell ref="J15:J16"/>
    <mergeCell ref="J17:J18"/>
    <mergeCell ref="J19:J20"/>
    <mergeCell ref="J21:J22"/>
    <mergeCell ref="I15:I16"/>
    <mergeCell ref="I17:I18"/>
    <mergeCell ref="F13:F14"/>
    <mergeCell ref="F15:F16"/>
    <mergeCell ref="F17:F18"/>
    <mergeCell ref="F19:F20"/>
    <mergeCell ref="F21:F22"/>
    <mergeCell ref="I23:I24"/>
    <mergeCell ref="I25:I26"/>
    <mergeCell ref="G30:J30"/>
    <mergeCell ref="G29:J29"/>
    <mergeCell ref="G32:J32"/>
    <mergeCell ref="J25:J26"/>
    <mergeCell ref="J23:J24"/>
    <mergeCell ref="G33:J42"/>
    <mergeCell ref="B17:B18"/>
    <mergeCell ref="C17:C18"/>
    <mergeCell ref="G17:G18"/>
    <mergeCell ref="B13:B14"/>
    <mergeCell ref="C13:C14"/>
    <mergeCell ref="G13:G14"/>
    <mergeCell ref="B15:B16"/>
    <mergeCell ref="C15:C16"/>
    <mergeCell ref="G15:G16"/>
    <mergeCell ref="G19:G20"/>
    <mergeCell ref="B21:B22"/>
    <mergeCell ref="C21:C22"/>
    <mergeCell ref="G21:G22"/>
    <mergeCell ref="B19:B20"/>
    <mergeCell ref="C19:C20"/>
    <mergeCell ref="B25:B26"/>
    <mergeCell ref="C25:C26"/>
    <mergeCell ref="G25:G26"/>
    <mergeCell ref="B23:B24"/>
    <mergeCell ref="C23:C24"/>
    <mergeCell ref="G23:G24"/>
    <mergeCell ref="F25:F26"/>
    <mergeCell ref="F23:F24"/>
  </mergeCells>
  <dataValidations count="1">
    <dataValidation type="whole" allowBlank="1" showInputMessage="1" showErrorMessage="1" errorTitle="Strength Mismatch" error="The opening strength input is too far outside of the expected range for a concrete pavement." sqref="I5:J5" xr:uid="{662F8C62-4207-49BA-B05C-D3C476D6A749}">
      <formula1>150</formula1>
      <formula2>3000</formula2>
    </dataValidation>
  </dataValidations>
  <pageMargins left="0.78125" right="0.84375" top="0.75" bottom="0.75" header="0.3" footer="0.3"/>
  <pageSetup orientation="portrait" r:id="rId1"/>
  <headerFooter>
    <oddHeader>&amp;CWorksheet Example for Maturity Curve Development as described in AASHTO T413</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037D81-32B9-41DC-9FE5-8F626036E18C}">
          <x14:formula1>
            <xm:f>Supplemental!$A$1:$A$2</xm:f>
          </x14:formula1>
          <xm:sqref>F6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0DF13-A82F-4FB7-94D4-8FAC0CF9CBA5}">
  <dimension ref="A1:K42"/>
  <sheetViews>
    <sheetView view="pageLayout" topLeftCell="A9" zoomScale="96" zoomScaleNormal="100" zoomScalePageLayoutView="96" workbookViewId="0">
      <selection activeCell="E6" sqref="E6:H6"/>
    </sheetView>
  </sheetViews>
  <sheetFormatPr defaultRowHeight="15" x14ac:dyDescent="0.2"/>
  <cols>
    <col min="1" max="1" width="9.375" style="3" customWidth="1"/>
    <col min="2" max="2" width="14.25" style="3" customWidth="1"/>
    <col min="3" max="3" width="6.625" style="3" customWidth="1"/>
    <col min="4" max="4" width="7.25" style="3" customWidth="1"/>
    <col min="5" max="5" width="6.125" style="3" customWidth="1"/>
    <col min="6" max="6" width="5.125" style="3" customWidth="1"/>
    <col min="7" max="7" width="10.875" style="3" customWidth="1"/>
    <col min="8" max="8" width="10.75" style="3" customWidth="1"/>
    <col min="9" max="9" width="6.625" style="3" customWidth="1"/>
    <col min="10" max="11" width="6.125" style="3" customWidth="1"/>
    <col min="12" max="12" width="9.75" style="3" bestFit="1" customWidth="1"/>
    <col min="13" max="13" width="9.625" style="3" bestFit="1" customWidth="1"/>
    <col min="14" max="15" width="9.5" style="3" bestFit="1" customWidth="1"/>
    <col min="16" max="16384" width="9" style="3"/>
  </cols>
  <sheetData>
    <row r="1" spans="1:9" ht="6" customHeight="1" thickBot="1" x14ac:dyDescent="0.25"/>
    <row r="2" spans="1:9" ht="15.75" thickBot="1" x14ac:dyDescent="0.25">
      <c r="B2" s="2" t="s">
        <v>0</v>
      </c>
      <c r="C2" s="100"/>
      <c r="D2" s="101"/>
      <c r="E2" s="107" t="s">
        <v>30</v>
      </c>
      <c r="F2" s="107"/>
      <c r="G2" s="107"/>
      <c r="H2" s="100"/>
      <c r="I2" s="101"/>
    </row>
    <row r="3" spans="1:9" ht="15" customHeight="1" thickBot="1" x14ac:dyDescent="0.25">
      <c r="B3" s="2" t="s">
        <v>12</v>
      </c>
      <c r="C3" s="100"/>
      <c r="D3" s="101"/>
      <c r="E3" s="99" t="s">
        <v>10</v>
      </c>
      <c r="F3" s="99"/>
      <c r="G3" s="99"/>
      <c r="H3" s="102">
        <v>-10</v>
      </c>
      <c r="I3" s="103"/>
    </row>
    <row r="4" spans="1:9" ht="15" customHeight="1" thickBot="1" x14ac:dyDescent="0.25">
      <c r="B4" s="2" t="s">
        <v>1</v>
      </c>
      <c r="C4" s="100"/>
      <c r="D4" s="101"/>
      <c r="E4" s="99"/>
      <c r="F4" s="99"/>
      <c r="G4" s="99"/>
      <c r="H4" s="104"/>
      <c r="I4" s="105"/>
    </row>
    <row r="5" spans="1:9" ht="15.75" customHeight="1" thickBot="1" x14ac:dyDescent="0.3">
      <c r="A5" s="106" t="str">
        <f>_xlfn.CONCAT("Agency Specified Opening ", E6,":")</f>
        <v>Agency Specified Opening Compressive Strength:</v>
      </c>
      <c r="B5" s="106"/>
      <c r="C5" s="106"/>
      <c r="D5" s="106"/>
      <c r="E5" s="106"/>
      <c r="F5" s="106"/>
      <c r="G5" s="106"/>
      <c r="H5" s="120">
        <v>17</v>
      </c>
      <c r="I5" s="121"/>
    </row>
    <row r="6" spans="1:9" ht="15.75" customHeight="1" thickBot="1" x14ac:dyDescent="0.25">
      <c r="C6" s="107" t="s">
        <v>4</v>
      </c>
      <c r="D6" s="117"/>
      <c r="E6" s="114" t="s">
        <v>5</v>
      </c>
      <c r="F6" s="115"/>
      <c r="G6" s="115"/>
      <c r="H6" s="116"/>
    </row>
    <row r="8" spans="1:9" ht="16.5" thickBot="1" x14ac:dyDescent="0.3">
      <c r="B8" s="109" t="s">
        <v>21</v>
      </c>
      <c r="C8" s="109"/>
      <c r="D8" s="109"/>
      <c r="E8" s="109"/>
      <c r="F8" s="109"/>
      <c r="G8" s="109"/>
      <c r="H8" s="109"/>
    </row>
    <row r="9" spans="1:9" ht="12.75" customHeight="1" thickTop="1" x14ac:dyDescent="0.2">
      <c r="B9" s="112" t="s">
        <v>28</v>
      </c>
      <c r="C9" s="112"/>
      <c r="D9" s="112"/>
      <c r="E9" s="112"/>
      <c r="F9" s="112"/>
      <c r="G9" s="112"/>
      <c r="H9" s="112"/>
    </row>
    <row r="10" spans="1:9" ht="16.5" customHeight="1" thickBot="1" x14ac:dyDescent="0.25">
      <c r="B10" s="113"/>
      <c r="C10" s="113"/>
      <c r="D10" s="113"/>
      <c r="E10" s="113"/>
      <c r="F10" s="113"/>
      <c r="G10" s="113"/>
      <c r="H10" s="113"/>
    </row>
    <row r="11" spans="1:9" ht="51.75" customHeight="1" x14ac:dyDescent="0.2">
      <c r="A11" s="23" t="s">
        <v>19</v>
      </c>
      <c r="B11" s="4" t="s">
        <v>2</v>
      </c>
      <c r="C11" s="5" t="s">
        <v>3</v>
      </c>
      <c r="D11" s="5" t="s">
        <v>8</v>
      </c>
      <c r="E11" s="5" t="s">
        <v>7</v>
      </c>
      <c r="F11" s="5" t="s">
        <v>52</v>
      </c>
      <c r="G11" s="5" t="str">
        <f>IF(ISBLANK($E$6),"Select Specimen",_xlfn.CONCAT($E$6," (MPa)"))</f>
        <v>Compressive Strength (MPa)</v>
      </c>
      <c r="H11" s="6" t="str">
        <f>_xlfn.CONCAT("Average ", LEFT(G11, LEN(G11) - 5),"(MPa)")</f>
        <v>Average Compressive Strength (MPa)</v>
      </c>
      <c r="I11" s="24" t="s">
        <v>23</v>
      </c>
    </row>
    <row r="12" spans="1:9" ht="29.25" thickBot="1" x14ac:dyDescent="0.25">
      <c r="A12" s="25" t="s">
        <v>29</v>
      </c>
      <c r="B12" s="16">
        <v>45291.541666666664</v>
      </c>
      <c r="C12" s="10">
        <v>0</v>
      </c>
      <c r="D12" s="125">
        <v>24</v>
      </c>
      <c r="E12" s="26">
        <v>0</v>
      </c>
      <c r="F12" s="8">
        <v>65</v>
      </c>
      <c r="G12" s="30"/>
      <c r="H12" s="31"/>
      <c r="I12" s="32"/>
    </row>
    <row r="13" spans="1:9" x14ac:dyDescent="0.2">
      <c r="A13" s="27">
        <v>1</v>
      </c>
      <c r="B13" s="72">
        <v>45292.291666666664</v>
      </c>
      <c r="C13" s="74">
        <f>IF(ISBLANK(B13),"",(B13-$B$12)*24)</f>
        <v>18</v>
      </c>
      <c r="D13" s="36">
        <v>23</v>
      </c>
      <c r="E13" s="78">
        <f>IF(AND(ISNUMBER(D13),ISNUMBER(D14),ISNUMBER(C13)),((AVERAGE(D13:D14)+D12)/2-$H$3)*(C13-C12)+E12,"")</f>
        <v>603.44999999999993</v>
      </c>
      <c r="F13" s="76">
        <v>58</v>
      </c>
      <c r="G13" s="36">
        <v>12</v>
      </c>
      <c r="H13" s="118">
        <f>IF(AND(ISNUMBER(G13),ISNUMBER(G14)),AVERAGE(G13,G14),"")</f>
        <v>12.5</v>
      </c>
      <c r="I13" s="97">
        <f>IF(ISNUMBER(H13),ABS(G13-G14)/AVERAGE(G13,G14),"")</f>
        <v>0.08</v>
      </c>
    </row>
    <row r="14" spans="1:9" ht="16.5" customHeight="1" thickBot="1" x14ac:dyDescent="0.25">
      <c r="A14" s="27">
        <v>2</v>
      </c>
      <c r="B14" s="73"/>
      <c r="C14" s="75"/>
      <c r="D14" s="37">
        <v>23.1</v>
      </c>
      <c r="E14" s="79"/>
      <c r="F14" s="77"/>
      <c r="G14" s="37">
        <v>13</v>
      </c>
      <c r="H14" s="119"/>
      <c r="I14" s="97"/>
    </row>
    <row r="15" spans="1:9" x14ac:dyDescent="0.2">
      <c r="A15" s="27">
        <v>3</v>
      </c>
      <c r="B15" s="72">
        <v>45292.541666666664</v>
      </c>
      <c r="C15" s="74">
        <f>IF(ISBLANK(B15),"",(B15-$B$12)*24)</f>
        <v>24</v>
      </c>
      <c r="D15" s="36">
        <v>24.2</v>
      </c>
      <c r="E15" s="78">
        <f>IF(AND(ISNUMBER(D15),ISNUMBER(D16),ISNUMBER(C15),ISNUMBER(E13)),((AVERAGE(D15:D16)+AVERAGE(D13:D14))/2-$H$3)*(C15-C13)+E13,"")</f>
        <v>805.34999999999991</v>
      </c>
      <c r="F15" s="76">
        <v>74</v>
      </c>
      <c r="G15" s="36">
        <v>20</v>
      </c>
      <c r="H15" s="118">
        <f>IF(AND(ISNUMBER(G15),ISNUMBER(G16),ISNUMBER(H13)),AVERAGE(G15,G16),"")</f>
        <v>20</v>
      </c>
      <c r="I15" s="97">
        <f>IF(ISNUMBER(H15),ABS(G15-G16)/AVERAGE(G15,G16),"")</f>
        <v>0</v>
      </c>
    </row>
    <row r="16" spans="1:9" ht="16.5" customHeight="1" thickBot="1" x14ac:dyDescent="0.25">
      <c r="A16" s="27">
        <v>4</v>
      </c>
      <c r="B16" s="73"/>
      <c r="C16" s="75"/>
      <c r="D16" s="37">
        <v>24.3</v>
      </c>
      <c r="E16" s="79"/>
      <c r="F16" s="77"/>
      <c r="G16" s="37">
        <v>20</v>
      </c>
      <c r="H16" s="119"/>
      <c r="I16" s="97"/>
    </row>
    <row r="17" spans="1:11" x14ac:dyDescent="0.2">
      <c r="A17" s="27">
        <v>5</v>
      </c>
      <c r="B17" s="72">
        <v>45292.833333333336</v>
      </c>
      <c r="C17" s="74">
        <f>IF(ISBLANK(B17),"",(B17-$B$12)*24)</f>
        <v>31.000000000116415</v>
      </c>
      <c r="D17" s="36">
        <v>21.4</v>
      </c>
      <c r="E17" s="78">
        <f>IF(AND(ISNUMBER(D17),ISNUMBER(D18),ISNUMBER(C17),ISNUMBER(E15)),((AVERAGE(D17:D18)+AVERAGE(D15:D16))/2-$H$3)*(C17-C15)+E15,"")</f>
        <v>1035.4750000038271</v>
      </c>
      <c r="F17" s="76">
        <v>59</v>
      </c>
      <c r="G17" s="36">
        <v>21</v>
      </c>
      <c r="H17" s="118">
        <f>IF(AND(ISNUMBER(G17),ISNUMBER(G18),ISNUMBER(H15)),AVERAGE(G17,G18),"")</f>
        <v>21</v>
      </c>
      <c r="I17" s="97">
        <f>IF(ISNUMBER(H17),ABS(G17-G18)/AVERAGE(G17,G18),"")</f>
        <v>0</v>
      </c>
    </row>
    <row r="18" spans="1:11" ht="15.75" customHeight="1" thickBot="1" x14ac:dyDescent="0.25">
      <c r="A18" s="27">
        <v>6</v>
      </c>
      <c r="B18" s="73"/>
      <c r="C18" s="75"/>
      <c r="D18" s="37">
        <v>21.6</v>
      </c>
      <c r="E18" s="79"/>
      <c r="F18" s="77"/>
      <c r="G18" s="37">
        <v>21</v>
      </c>
      <c r="H18" s="119"/>
      <c r="I18" s="97"/>
    </row>
    <row r="19" spans="1:11" x14ac:dyDescent="0.2">
      <c r="A19" s="27">
        <v>7</v>
      </c>
      <c r="B19" s="72">
        <v>45293.541666666664</v>
      </c>
      <c r="C19" s="74">
        <f>IF(ISBLANK(B19),"",(B19-$B$12)*24)</f>
        <v>48</v>
      </c>
      <c r="D19" s="36">
        <v>22.1</v>
      </c>
      <c r="E19" s="78">
        <f>IF(AND(ISNUMBER(D19),ISNUMBER(D20),ISNUMBER(C19),ISNUMBER(E17)),((AVERAGE(D19:D20)+AVERAGE(D17:D18))/2-$H$3)*(C19-C17)+E17,"")</f>
        <v>1576.0750000001251</v>
      </c>
      <c r="F19" s="76">
        <v>73</v>
      </c>
      <c r="G19" s="36">
        <v>24.1</v>
      </c>
      <c r="H19" s="118">
        <f>IF(AND(ISNUMBER(G19),ISNUMBER(G20),ISNUMBER(H17)),AVERAGE(G19,G20),"")</f>
        <v>23.05</v>
      </c>
      <c r="I19" s="97">
        <f>IF(ISNUMBER(H19),ABS(G19-G20)/AVERAGE(G19,G20),"")</f>
        <v>9.1106290672451254E-2</v>
      </c>
    </row>
    <row r="20" spans="1:11" ht="16.5" customHeight="1" thickBot="1" x14ac:dyDescent="0.25">
      <c r="A20" s="27">
        <v>8</v>
      </c>
      <c r="B20" s="73"/>
      <c r="C20" s="75"/>
      <c r="D20" s="37">
        <v>22.1</v>
      </c>
      <c r="E20" s="79"/>
      <c r="F20" s="77"/>
      <c r="G20" s="37">
        <v>22</v>
      </c>
      <c r="H20" s="119"/>
      <c r="I20" s="97"/>
      <c r="K20" s="33"/>
    </row>
    <row r="21" spans="1:11" x14ac:dyDescent="0.2">
      <c r="A21" s="27">
        <v>9</v>
      </c>
      <c r="B21" s="72">
        <v>45294.291666666664</v>
      </c>
      <c r="C21" s="74">
        <f>IF(ISBLANK(B21),"",(B21-$B$12)*24)</f>
        <v>66</v>
      </c>
      <c r="D21" s="36">
        <v>22.2</v>
      </c>
      <c r="E21" s="78">
        <f>IF(AND(ISNUMBER(D21),ISNUMBER(D22),ISNUMBER(C21),ISNUMBER(E19)),((AVERAGE(D21:D22)+AVERAGE(D19:D20))/2-$H$3)*(C21-C19)+E19,"")</f>
        <v>2155.225000000125</v>
      </c>
      <c r="F21" s="76">
        <v>61</v>
      </c>
      <c r="G21" s="36">
        <v>23.3</v>
      </c>
      <c r="H21" s="118">
        <f>IF(AND(ISNUMBER(G21),ISNUMBER(G22),ISNUMBER(H19)),AVERAGE(G21,G22),"")</f>
        <v>23.55</v>
      </c>
      <c r="I21" s="97">
        <f>IF(ISNUMBER(H21),ABS(G21-G22)/AVERAGE(G21,G22),"")</f>
        <v>2.1231422505307854E-2</v>
      </c>
    </row>
    <row r="22" spans="1:11" ht="16.5" customHeight="1" thickBot="1" x14ac:dyDescent="0.25">
      <c r="A22" s="27">
        <v>10</v>
      </c>
      <c r="B22" s="73"/>
      <c r="C22" s="75"/>
      <c r="D22" s="37">
        <v>22.3</v>
      </c>
      <c r="E22" s="79"/>
      <c r="F22" s="77"/>
      <c r="G22" s="37">
        <v>23.8</v>
      </c>
      <c r="H22" s="119"/>
      <c r="I22" s="97"/>
    </row>
    <row r="23" spans="1:11" x14ac:dyDescent="0.2">
      <c r="A23" s="27">
        <v>11</v>
      </c>
      <c r="B23" s="72">
        <v>45294.541666666664</v>
      </c>
      <c r="C23" s="74">
        <f>IF(ISBLANK(B23),"",(B23-$B$12)*24)</f>
        <v>72</v>
      </c>
      <c r="D23" s="36">
        <v>24.3</v>
      </c>
      <c r="E23" s="78">
        <f>IF(AND(ISNUMBER(D23),ISNUMBER(D24),ISNUMBER(C23),ISNUMBER(E21)),((AVERAGE(D23:D24)+AVERAGE(D21:D22))/2-$H$3)*(C23-C21)+E21,"")</f>
        <v>2354.8750000001251</v>
      </c>
      <c r="F23" s="76">
        <v>78</v>
      </c>
      <c r="G23" s="36">
        <v>27.5</v>
      </c>
      <c r="H23" s="118">
        <f>IF(AND(ISNUMBER(G23),ISNUMBER(G24),ISNUMBER(H21)),AVERAGE(G23,G24),"")</f>
        <v>27.7</v>
      </c>
      <c r="I23" s="97">
        <f>IF(ISNUMBER(H23),ABS(G23-G24)/AVERAGE(G23,G24),"")</f>
        <v>1.4440433212996338E-2</v>
      </c>
    </row>
    <row r="24" spans="1:11" ht="16.5" customHeight="1" thickBot="1" x14ac:dyDescent="0.25">
      <c r="A24" s="27">
        <v>12</v>
      </c>
      <c r="B24" s="73"/>
      <c r="C24" s="75"/>
      <c r="D24" s="37">
        <v>24.3</v>
      </c>
      <c r="E24" s="79"/>
      <c r="F24" s="77"/>
      <c r="G24" s="37">
        <v>27.9</v>
      </c>
      <c r="H24" s="119"/>
      <c r="I24" s="97"/>
      <c r="K24" s="18"/>
    </row>
    <row r="25" spans="1:11" x14ac:dyDescent="0.2">
      <c r="A25" s="27">
        <v>13</v>
      </c>
      <c r="B25" s="72">
        <v>45295.541666666664</v>
      </c>
      <c r="C25" s="74">
        <f>IF(ISBLANK(B25),"",(B25-$B$12)*24)</f>
        <v>96</v>
      </c>
      <c r="D25" s="36">
        <v>25.4</v>
      </c>
      <c r="E25" s="78">
        <f>IF(AND(ISNUMBER(D25),ISNUMBER(D26),ISNUMBER(C25),ISNUMBER(E23)),((AVERAGE(D25:D26)+AVERAGE(D23:D24))/2-$H$3)*(C25-C23)+E23,"")</f>
        <v>3192.475000000125</v>
      </c>
      <c r="F25" s="76">
        <v>77</v>
      </c>
      <c r="G25" s="36">
        <v>31.2</v>
      </c>
      <c r="H25" s="118">
        <f>IF(AND(ISNUMBER(G25),ISNUMBER(G26),ISNUMBER(H23)),AVERAGE(G25,G26),"")</f>
        <v>31.6</v>
      </c>
      <c r="I25" s="97">
        <f>IF(ISNUMBER(H25),ABS(G25-G26)/AVERAGE(G25,G26),"")</f>
        <v>2.5316455696202552E-2</v>
      </c>
    </row>
    <row r="26" spans="1:11" ht="15.75" customHeight="1" thickBot="1" x14ac:dyDescent="0.25">
      <c r="A26" s="27">
        <v>14</v>
      </c>
      <c r="B26" s="73"/>
      <c r="C26" s="75"/>
      <c r="D26" s="37">
        <v>25.6</v>
      </c>
      <c r="E26" s="79"/>
      <c r="F26" s="77"/>
      <c r="G26" s="37">
        <v>32</v>
      </c>
      <c r="H26" s="119"/>
      <c r="I26" s="97"/>
    </row>
    <row r="27" spans="1:11" ht="15.75" thickBot="1" x14ac:dyDescent="0.25">
      <c r="A27" s="28">
        <v>15</v>
      </c>
      <c r="B27" s="17">
        <v>45296.333333333336</v>
      </c>
      <c r="C27" s="11">
        <f t="shared" ref="C27" si="0">IF(ISBLANK(B27),"",(B27-$B$12)*24)</f>
        <v>115.00000000011642</v>
      </c>
      <c r="D27" s="37">
        <v>23</v>
      </c>
      <c r="E27" s="22">
        <f>IF(AND(ISNUMBER(D27),ISNUMBER(C27),ISNUMBER(E25)),((D27+AVERAGE(D25:D26))/2-$H$3)*(C27-C25)+E25,"")</f>
        <v>3843.2250000041122</v>
      </c>
      <c r="F27" s="9">
        <v>62</v>
      </c>
      <c r="G27" s="37">
        <v>34.6</v>
      </c>
      <c r="H27" s="38">
        <f>IF(AND(ISNUMBER(G27),ISNUMBER(H25)),G27,"")</f>
        <v>34.6</v>
      </c>
      <c r="I27" s="29"/>
    </row>
    <row r="28" spans="1:11" ht="15.75" customHeight="1" thickBot="1" x14ac:dyDescent="0.25">
      <c r="A28" s="98" t="str">
        <f>_xlfn.CONCAT("Equation of Line: Strength = ",TEXT(Supplemental!F26, "0.000")," * TTF + ",TEXT(Supplemental!F27,"0.00"))</f>
        <v>Equation of Line: Strength = 0.006 * TTF + 13.09</v>
      </c>
      <c r="B28" s="98"/>
      <c r="C28" s="98"/>
      <c r="D28" s="98"/>
      <c r="E28" s="98"/>
    </row>
    <row r="29" spans="1:11" ht="15.75" customHeight="1" x14ac:dyDescent="0.2">
      <c r="F29" s="91" t="s">
        <v>11</v>
      </c>
      <c r="G29" s="92"/>
      <c r="H29" s="92"/>
      <c r="I29" s="93"/>
    </row>
    <row r="30" spans="1:11" ht="15.75" customHeight="1" thickBot="1" x14ac:dyDescent="0.25">
      <c r="F30" s="88">
        <f>Supplemental!E37</f>
        <v>681.2864075993881</v>
      </c>
      <c r="G30" s="89"/>
      <c r="H30" s="89"/>
      <c r="I30" s="90"/>
    </row>
    <row r="31" spans="1:11" ht="9.75" customHeight="1" thickBot="1" x14ac:dyDescent="0.25"/>
    <row r="32" spans="1:11" ht="15.75" customHeight="1" thickBot="1" x14ac:dyDescent="0.25">
      <c r="F32" s="94" t="s">
        <v>20</v>
      </c>
      <c r="G32" s="95"/>
      <c r="H32" s="95"/>
      <c r="I32" s="96"/>
      <c r="K32" s="18"/>
    </row>
    <row r="33" spans="6:9" ht="15" customHeight="1" thickTop="1" x14ac:dyDescent="0.2">
      <c r="F33" s="80" t="str">
        <f>IF('Error Bits (Metric)'!D2=0,"No warnings present.",IF(MID(TEXT(DEC2BIN('Error Bits (Metric)'!$D$2, 8), "00000000"), 8, 1)="1", 'Error Bits (Metric)'!$A$9, "") &amp;
IF(MID(TEXT(DEC2BIN('Error Bits (Metric)'!$D$2, 8), "00000000"), 7, 1)="1",  'Error Bits (Metric)'!$A$8, "") &amp;
IF(MID(TEXT(DEC2BIN('Error Bits (Metric)'!$D$2, 8), "00000000"), 6, 1)="1",  'Error Bits (Metric)'!$A$7, "") &amp;
IF(MID(TEXT(DEC2BIN('Error Bits (Metric)'!$D$2, 8), "00000000"), 5, 1)="1",  'Error Bits (Metric)'!$A$6, "") &amp;
IF(MID(TEXT(DEC2BIN('Error Bits (Metric)'!$D$2, 8), "00000000"), 4, 1)="1",  'Error Bits (Metric)'!$A$5, "") &amp;
IF(MID(TEXT(DEC2BIN('Error Bits (US)'!$D$2, 8), "00000000"), 3, 1)="1",  'Error Bits (US)'!$A$4, "") &amp;
IF(MID(TEXT(DEC2BIN('Error Bits (US)'!$D$2, 8), "00000000"), 2, 1)="1",  'Error Bits (US)'!$A$3, "") &amp;
IF(MID(TEXT(DEC2BIN('Error Bits (US)'!$D$2, 8), "00000000"), 1, 1)="1", 'Error Bits (US)'!$A$2, ""))</f>
        <v xml:space="preserve">Ideally two sets of measurements should be below the opening strength (see Section 9.1.5). </v>
      </c>
      <c r="G33" s="81"/>
      <c r="H33" s="81"/>
      <c r="I33" s="82"/>
    </row>
    <row r="34" spans="6:9" ht="15.75" customHeight="1" x14ac:dyDescent="0.2">
      <c r="F34" s="80"/>
      <c r="G34" s="81"/>
      <c r="H34" s="81"/>
      <c r="I34" s="82"/>
    </row>
    <row r="35" spans="6:9" ht="15.75" customHeight="1" x14ac:dyDescent="0.2">
      <c r="F35" s="80"/>
      <c r="G35" s="81"/>
      <c r="H35" s="81"/>
      <c r="I35" s="82"/>
    </row>
    <row r="36" spans="6:9" ht="15.75" customHeight="1" x14ac:dyDescent="0.2">
      <c r="F36" s="80"/>
      <c r="G36" s="81"/>
      <c r="H36" s="81"/>
      <c r="I36" s="82"/>
    </row>
    <row r="37" spans="6:9" ht="15.75" customHeight="1" x14ac:dyDescent="0.2">
      <c r="F37" s="80"/>
      <c r="G37" s="81"/>
      <c r="H37" s="81"/>
      <c r="I37" s="82"/>
    </row>
    <row r="38" spans="6:9" ht="15.75" customHeight="1" x14ac:dyDescent="0.2">
      <c r="F38" s="80"/>
      <c r="G38" s="81"/>
      <c r="H38" s="81"/>
      <c r="I38" s="82"/>
    </row>
    <row r="39" spans="6:9" ht="15.75" customHeight="1" x14ac:dyDescent="0.2">
      <c r="F39" s="80"/>
      <c r="G39" s="81"/>
      <c r="H39" s="81"/>
      <c r="I39" s="82"/>
    </row>
    <row r="40" spans="6:9" ht="15.75" customHeight="1" x14ac:dyDescent="0.2">
      <c r="F40" s="80"/>
      <c r="G40" s="81"/>
      <c r="H40" s="81"/>
      <c r="I40" s="82"/>
    </row>
    <row r="41" spans="6:9" ht="15.75" customHeight="1" x14ac:dyDescent="0.2">
      <c r="F41" s="80"/>
      <c r="G41" s="81"/>
      <c r="H41" s="81"/>
      <c r="I41" s="82"/>
    </row>
    <row r="42" spans="6:9" ht="15.75" customHeight="1" thickBot="1" x14ac:dyDescent="0.25">
      <c r="F42" s="83"/>
      <c r="G42" s="84"/>
      <c r="H42" s="84"/>
      <c r="I42" s="85"/>
    </row>
  </sheetData>
  <sheetProtection sheet="1" selectLockedCells="1"/>
  <mergeCells count="60">
    <mergeCell ref="C2:D2"/>
    <mergeCell ref="E2:G2"/>
    <mergeCell ref="H2:I2"/>
    <mergeCell ref="C3:D3"/>
    <mergeCell ref="E3:G4"/>
    <mergeCell ref="H3:I4"/>
    <mergeCell ref="C4:D4"/>
    <mergeCell ref="I13:I14"/>
    <mergeCell ref="A5:G5"/>
    <mergeCell ref="H5:I5"/>
    <mergeCell ref="C6:D6"/>
    <mergeCell ref="E6:H6"/>
    <mergeCell ref="B8:H8"/>
    <mergeCell ref="B9:H10"/>
    <mergeCell ref="B13:B14"/>
    <mergeCell ref="C13:C14"/>
    <mergeCell ref="E13:E14"/>
    <mergeCell ref="F13:F14"/>
    <mergeCell ref="H13:H14"/>
    <mergeCell ref="I17:I18"/>
    <mergeCell ref="B15:B16"/>
    <mergeCell ref="C15:C16"/>
    <mergeCell ref="E15:E16"/>
    <mergeCell ref="F15:F16"/>
    <mergeCell ref="H15:H16"/>
    <mergeCell ref="I15:I16"/>
    <mergeCell ref="B17:B18"/>
    <mergeCell ref="C17:C18"/>
    <mergeCell ref="E17:E18"/>
    <mergeCell ref="F17:F18"/>
    <mergeCell ref="H17:H18"/>
    <mergeCell ref="I21:I22"/>
    <mergeCell ref="B19:B20"/>
    <mergeCell ref="C19:C20"/>
    <mergeCell ref="E19:E20"/>
    <mergeCell ref="F19:F20"/>
    <mergeCell ref="H19:H20"/>
    <mergeCell ref="I19:I20"/>
    <mergeCell ref="B21:B22"/>
    <mergeCell ref="C21:C22"/>
    <mergeCell ref="E21:E22"/>
    <mergeCell ref="F21:F22"/>
    <mergeCell ref="H21:H22"/>
    <mergeCell ref="I25:I26"/>
    <mergeCell ref="B23:B24"/>
    <mergeCell ref="C23:C24"/>
    <mergeCell ref="E23:E24"/>
    <mergeCell ref="F23:F24"/>
    <mergeCell ref="H23:H24"/>
    <mergeCell ref="I23:I24"/>
    <mergeCell ref="B25:B26"/>
    <mergeCell ref="C25:C26"/>
    <mergeCell ref="E25:E26"/>
    <mergeCell ref="F25:F26"/>
    <mergeCell ref="H25:H26"/>
    <mergeCell ref="F29:I29"/>
    <mergeCell ref="F30:I30"/>
    <mergeCell ref="F32:I32"/>
    <mergeCell ref="F33:I42"/>
    <mergeCell ref="A28:E28"/>
  </mergeCells>
  <dataValidations count="1">
    <dataValidation type="decimal" allowBlank="1" showInputMessage="1" showErrorMessage="1" errorTitle="Strength Mismatch" error="The opening strength input is too far outside of the expected range for a concrete pavement." sqref="H5:I5" xr:uid="{7C508594-E775-4436-943B-63215BCC4BE5}">
      <formula1>0.5</formula1>
      <formula2>22</formula2>
    </dataValidation>
  </dataValidations>
  <pageMargins left="0.78125" right="0.84375" top="0.75" bottom="0.75" header="0.3" footer="0.3"/>
  <pageSetup orientation="portrait" r:id="rId1"/>
  <headerFooter>
    <oddHeader>&amp;CWorksheet Example for Maturity Curve Development as described in AASHTO T413</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B20AB7A-A673-42BC-8C10-32400FD06369}">
          <x14:formula1>
            <xm:f>Supplemental!$A$1:$A$2</xm:f>
          </x14:formula1>
          <xm:sqref>E6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C4B95-3EF7-4D85-989A-09FF0F762F11}">
  <dimension ref="A1:F41"/>
  <sheetViews>
    <sheetView workbookViewId="0">
      <selection sqref="A1:XFD1048576"/>
    </sheetView>
  </sheetViews>
  <sheetFormatPr defaultRowHeight="15.75" x14ac:dyDescent="0.25"/>
  <sheetData>
    <row r="1" spans="1:6" x14ac:dyDescent="0.25">
      <c r="A1" t="s">
        <v>5</v>
      </c>
    </row>
    <row r="2" spans="1:6" x14ac:dyDescent="0.25">
      <c r="A2" t="s">
        <v>6</v>
      </c>
    </row>
    <row r="4" spans="1:6" x14ac:dyDescent="0.25">
      <c r="A4" t="s">
        <v>35</v>
      </c>
      <c r="E4" t="s">
        <v>53</v>
      </c>
    </row>
    <row r="5" spans="1:6" x14ac:dyDescent="0.25">
      <c r="A5" s="1">
        <f>IF(ISNUMBER('US-Units'!$F$13),'US-Units'!$F$13,NA())</f>
        <v>534.5</v>
      </c>
      <c r="B5" s="1">
        <f>IF(ISNUMBER('US-Units'!$I$13),'US-Units'!$I$13,NA())</f>
        <v>680</v>
      </c>
      <c r="E5">
        <f>IF(ISNUMBER('Metric-Units'!$E$13),'Metric-Units'!$E$13,NA())</f>
        <v>603.44999999999993</v>
      </c>
      <c r="F5">
        <f>IF(ISNUMBER('Metric-Units'!$H$13),'Metric-Units'!$H$13,NA())</f>
        <v>12.5</v>
      </c>
    </row>
    <row r="6" spans="1:6" x14ac:dyDescent="0.25">
      <c r="A6" s="1">
        <f>IF(ISNUMBER('US-Units'!$F$15),'US-Units'!$F$15,NA())</f>
        <v>731.5</v>
      </c>
      <c r="B6" s="1">
        <f>IF(ISNUMBER('US-Units'!$I$15),'US-Units'!$I$15,NA())</f>
        <v>1000</v>
      </c>
      <c r="E6">
        <f>IF(ISNUMBER('Metric-Units'!$E$15),'Metric-Units'!$E$15,NA())</f>
        <v>805.34999999999991</v>
      </c>
      <c r="F6">
        <f>IF(ISNUMBER('Metric-Units'!$H$15),'Metric-Units'!$H$15,NA())</f>
        <v>20</v>
      </c>
    </row>
    <row r="7" spans="1:6" x14ac:dyDescent="0.25">
      <c r="A7" s="1">
        <f>IF(ISNUMBER('US-Units'!$F$17),'US-Units'!$F$17,NA())</f>
        <v>951.80555555921944</v>
      </c>
      <c r="B7" s="1">
        <f>IF(ISNUMBER('US-Units'!$I$17),'US-Units'!$I$17,NA())</f>
        <v>2000</v>
      </c>
      <c r="E7">
        <f>IF(ISNUMBER('Metric-Units'!$E$17),'Metric-Units'!$E$17,NA())</f>
        <v>1035.4750000038271</v>
      </c>
      <c r="F7">
        <f>IF(ISNUMBER('Metric-Units'!$H$17),'Metric-Units'!$H$17,NA())</f>
        <v>21</v>
      </c>
    </row>
    <row r="8" spans="1:6" x14ac:dyDescent="0.25">
      <c r="A8" s="1">
        <f>IF(ISNUMBER('US-Units'!$F$19),'US-Units'!$F$19,NA())</f>
        <v>1477.3888888889537</v>
      </c>
      <c r="B8" s="1">
        <f>IF(ISNUMBER('US-Units'!$I$19),'US-Units'!$I$19,NA())</f>
        <v>2100</v>
      </c>
      <c r="E8">
        <f>IF(ISNUMBER('Metric-Units'!$E$19),'Metric-Units'!$E$19,NA())</f>
        <v>1576.0750000001251</v>
      </c>
      <c r="F8">
        <f>IF(ISNUMBER('Metric-Units'!$H$19),'Metric-Units'!$H$19,NA())</f>
        <v>23.05</v>
      </c>
    </row>
    <row r="9" spans="1:6" x14ac:dyDescent="0.25">
      <c r="A9" s="1">
        <f>IF(ISNUMBER('US-Units'!$F$21),'US-Units'!$F$21,NA())</f>
        <v>2048.6388888889537</v>
      </c>
      <c r="B9" s="1">
        <f>IF(ISNUMBER('US-Units'!$I$21),'US-Units'!$I$21,NA())</f>
        <v>2400</v>
      </c>
      <c r="E9">
        <f>IF(ISNUMBER('Metric-Units'!$E$21),'Metric-Units'!$E$21,NA())</f>
        <v>2155.225000000125</v>
      </c>
      <c r="F9">
        <f>IF(ISNUMBER('Metric-Units'!$H$21),'Metric-Units'!$H$21,NA())</f>
        <v>23.55</v>
      </c>
    </row>
    <row r="10" spans="1:6" x14ac:dyDescent="0.25">
      <c r="A10" s="1">
        <f>IF(ISNUMBER('US-Units'!$F$23),'US-Units'!$F$23,NA())</f>
        <v>2243.0555555556202</v>
      </c>
      <c r="B10" s="1">
        <f>IF(ISNUMBER('US-Units'!$I$23),'US-Units'!$I$23,NA())</f>
        <v>4950</v>
      </c>
      <c r="E10">
        <f>IF(ISNUMBER('Metric-Units'!$E$23),'Metric-Units'!$E$23,NA())</f>
        <v>2354.8750000001251</v>
      </c>
      <c r="F10">
        <f>IF(ISNUMBER('Metric-Units'!$H$23),'Metric-Units'!$H$23,NA())</f>
        <v>27.7</v>
      </c>
    </row>
    <row r="11" spans="1:6" x14ac:dyDescent="0.25">
      <c r="A11" s="1">
        <f>IF(ISNUMBER('US-Units'!$F$25),'US-Units'!$F$25,NA())</f>
        <v>3130.7222222222872</v>
      </c>
      <c r="B11" s="1">
        <f>IF(ISNUMBER('US-Units'!$I$25),'US-Units'!$I$25,NA())</f>
        <v>5000</v>
      </c>
      <c r="E11">
        <f>IF(ISNUMBER('Metric-Units'!$E$25),'Metric-Units'!$E$25,NA())</f>
        <v>3192.475000000125</v>
      </c>
      <c r="F11">
        <f>IF(ISNUMBER('Metric-Units'!$H$25),'Metric-Units'!$H$25,NA())</f>
        <v>31.6</v>
      </c>
    </row>
    <row r="12" spans="1:6" x14ac:dyDescent="0.25">
      <c r="A12" s="1">
        <f>IF(ISNUMBER('US-Units'!$F$27),'US-Units'!$F$27,NA())</f>
        <v>3746.3750000038372</v>
      </c>
      <c r="B12" s="1">
        <f>IF(ISNUMBER('US-Units'!$I$27),'US-Units'!$I$27,NA())</f>
        <v>4300</v>
      </c>
      <c r="E12">
        <f>IF(ISNUMBER('Metric-Units'!$E$27),'Metric-Units'!$E$27,NA())</f>
        <v>3843.2250000041122</v>
      </c>
      <c r="F12">
        <f>IF(ISNUMBER('Metric-Units'!$H$27),'Metric-Units'!$H$27,NA())</f>
        <v>34.6</v>
      </c>
    </row>
    <row r="15" spans="1:6" x14ac:dyDescent="0.25">
      <c r="A15" t="s">
        <v>36</v>
      </c>
      <c r="E15" t="s">
        <v>54</v>
      </c>
    </row>
    <row r="16" spans="1:6" x14ac:dyDescent="0.25">
      <c r="A16">
        <f t="shared" ref="A16:B23" si="0">IF(ISNUMBER(A5),A5,0)</f>
        <v>534.5</v>
      </c>
      <c r="B16">
        <f t="shared" si="0"/>
        <v>680</v>
      </c>
      <c r="E16">
        <f t="shared" ref="E16:F16" si="1">IF(ISNUMBER(E5),E5,0)</f>
        <v>603.44999999999993</v>
      </c>
      <c r="F16">
        <f t="shared" si="1"/>
        <v>12.5</v>
      </c>
    </row>
    <row r="17" spans="1:6" x14ac:dyDescent="0.25">
      <c r="A17">
        <f t="shared" si="0"/>
        <v>731.5</v>
      </c>
      <c r="B17">
        <f t="shared" si="0"/>
        <v>1000</v>
      </c>
      <c r="E17">
        <f t="shared" ref="E17:F17" si="2">IF(ISNUMBER(E6),E6,0)</f>
        <v>805.34999999999991</v>
      </c>
      <c r="F17">
        <f t="shared" si="2"/>
        <v>20</v>
      </c>
    </row>
    <row r="18" spans="1:6" x14ac:dyDescent="0.25">
      <c r="A18">
        <f t="shared" si="0"/>
        <v>951.80555555921944</v>
      </c>
      <c r="B18">
        <f t="shared" si="0"/>
        <v>2000</v>
      </c>
      <c r="E18">
        <f t="shared" ref="E18:F18" si="3">IF(ISNUMBER(E7),E7,0)</f>
        <v>1035.4750000038271</v>
      </c>
      <c r="F18">
        <f t="shared" si="3"/>
        <v>21</v>
      </c>
    </row>
    <row r="19" spans="1:6" x14ac:dyDescent="0.25">
      <c r="A19">
        <f t="shared" si="0"/>
        <v>1477.3888888889537</v>
      </c>
      <c r="B19">
        <f t="shared" si="0"/>
        <v>2100</v>
      </c>
      <c r="E19">
        <f t="shared" ref="E19:F19" si="4">IF(ISNUMBER(E8),E8,0)</f>
        <v>1576.0750000001251</v>
      </c>
      <c r="F19">
        <f t="shared" si="4"/>
        <v>23.05</v>
      </c>
    </row>
    <row r="20" spans="1:6" x14ac:dyDescent="0.25">
      <c r="A20">
        <f t="shared" si="0"/>
        <v>2048.6388888889537</v>
      </c>
      <c r="B20">
        <f t="shared" si="0"/>
        <v>2400</v>
      </c>
      <c r="E20">
        <f t="shared" ref="E20:F20" si="5">IF(ISNUMBER(E9),E9,0)</f>
        <v>2155.225000000125</v>
      </c>
      <c r="F20">
        <f t="shared" si="5"/>
        <v>23.55</v>
      </c>
    </row>
    <row r="21" spans="1:6" x14ac:dyDescent="0.25">
      <c r="A21">
        <f t="shared" si="0"/>
        <v>2243.0555555556202</v>
      </c>
      <c r="B21">
        <f t="shared" si="0"/>
        <v>4950</v>
      </c>
      <c r="E21">
        <f t="shared" ref="E21:F21" si="6">IF(ISNUMBER(E10),E10,0)</f>
        <v>2354.8750000001251</v>
      </c>
      <c r="F21">
        <f t="shared" si="6"/>
        <v>27.7</v>
      </c>
    </row>
    <row r="22" spans="1:6" x14ac:dyDescent="0.25">
      <c r="A22">
        <f t="shared" si="0"/>
        <v>3130.7222222222872</v>
      </c>
      <c r="B22">
        <f t="shared" si="0"/>
        <v>5000</v>
      </c>
      <c r="E22">
        <f t="shared" ref="E22:F22" si="7">IF(ISNUMBER(E11),E11,0)</f>
        <v>3192.475000000125</v>
      </c>
      <c r="F22">
        <f t="shared" si="7"/>
        <v>31.6</v>
      </c>
    </row>
    <row r="23" spans="1:6" x14ac:dyDescent="0.25">
      <c r="A23">
        <f t="shared" si="0"/>
        <v>3746.3750000038372</v>
      </c>
      <c r="B23">
        <f t="shared" si="0"/>
        <v>4300</v>
      </c>
      <c r="E23">
        <f t="shared" ref="E23:F23" si="8">IF(ISNUMBER(E12),E12,0)</f>
        <v>3843.2250000041122</v>
      </c>
      <c r="F23">
        <f t="shared" si="8"/>
        <v>34.6</v>
      </c>
    </row>
    <row r="25" spans="1:6" x14ac:dyDescent="0.25">
      <c r="A25" t="s">
        <v>37</v>
      </c>
      <c r="E25" t="s">
        <v>55</v>
      </c>
    </row>
    <row r="26" spans="1:6" x14ac:dyDescent="0.25">
      <c r="A26" t="s">
        <v>38</v>
      </c>
      <c r="B26" cm="1">
        <f t="array" ref="B26">INDEX(LINEST(_xlfn._xlws.FILTER(B16:B23,B16:B23&lt;&gt;0,),_xlfn._xlws.FILTER(A16:A23,A16:A23&lt;&gt;0,)),1)</f>
        <v>1.3047918493166863</v>
      </c>
      <c r="E26" t="s">
        <v>38</v>
      </c>
      <c r="F26" cm="1">
        <f t="array" ref="F26">INDEX(LINEST(_xlfn._xlws.FILTER(F16:F23,F16:F23&lt;&gt;0,),_xlfn._xlws.FILTER(E16:E23,E16:E23&lt;&gt;0,)),1)</f>
        <v>5.733571562754977E-3</v>
      </c>
    </row>
    <row r="27" spans="1:6" x14ac:dyDescent="0.25">
      <c r="A27" t="s">
        <v>39</v>
      </c>
      <c r="B27" cm="1">
        <f t="array" ref="B27">INDEX(LINEST(_xlfn._xlws.FILTER(B16:B23,B16:B23&lt;&gt;0,),_xlfn._xlws.FILTER(A16:A23,A16:A23&lt;&gt;0,)),2)</f>
        <v>379.44900923195792</v>
      </c>
      <c r="E27" t="s">
        <v>39</v>
      </c>
      <c r="F27" cm="1">
        <f t="array" ref="F27">INDEX(LINEST(_xlfn._xlws.FILTER(F16:F23,F16:F23&lt;&gt;0,),_xlfn._xlws.FILTER(E16:E23,E16:E23&lt;&gt;0,)),2)</f>
        <v>13.093795627296652</v>
      </c>
    </row>
    <row r="28" spans="1:6" x14ac:dyDescent="0.25">
      <c r="A28" t="s">
        <v>40</v>
      </c>
      <c r="B28" t="str">
        <f>LEFT(RSQ('US-Units'!F13:F27,'US-Units'!I13:I27),4)</f>
        <v>0.76</v>
      </c>
      <c r="E28" t="s">
        <v>40</v>
      </c>
      <c r="F28" t="str">
        <f>LEFT(RSQ('Metric-Units'!E13:E27,'Metric-Units'!H13:H27),4)</f>
        <v>0.90</v>
      </c>
    </row>
    <row r="31" spans="1:6" x14ac:dyDescent="0.25">
      <c r="A31" t="s">
        <v>34</v>
      </c>
      <c r="E31" t="s">
        <v>56</v>
      </c>
    </row>
    <row r="32" spans="1:6" x14ac:dyDescent="0.25">
      <c r="A32">
        <v>0</v>
      </c>
      <c r="B32">
        <f>B27</f>
        <v>379.44900923195792</v>
      </c>
      <c r="E32">
        <v>0</v>
      </c>
      <c r="F32">
        <f>F27</f>
        <v>13.093795627296652</v>
      </c>
    </row>
    <row r="33" spans="1:6" x14ac:dyDescent="0.25">
      <c r="A33" s="1">
        <f>MAX('US-Units'!$F$13:$F$27)</f>
        <v>3746.3750000038372</v>
      </c>
      <c r="B33">
        <f>B26*A33+B27</f>
        <v>5267.6885737207649</v>
      </c>
      <c r="E33" s="1">
        <f>MAX('Metric-Units'!$E$13:$E$27)</f>
        <v>3843.2250000041122</v>
      </c>
      <c r="F33">
        <f>F26*E33+F27</f>
        <v>35.129201196589229</v>
      </c>
    </row>
    <row r="36" spans="1:6" x14ac:dyDescent="0.25">
      <c r="A36" t="s">
        <v>13</v>
      </c>
      <c r="E36" t="s">
        <v>57</v>
      </c>
    </row>
    <row r="37" spans="1:6" x14ac:dyDescent="0.25">
      <c r="A37" s="1">
        <f>('US-Units'!I5-Supplemental!B27)/Supplemental!B26</f>
        <v>1625.2025117098678</v>
      </c>
      <c r="B37">
        <v>0</v>
      </c>
      <c r="E37" s="1">
        <f>('Metric-Units'!H5-Supplemental!F27)/Supplemental!F26</f>
        <v>681.2864075993881</v>
      </c>
      <c r="F37">
        <v>0</v>
      </c>
    </row>
    <row r="38" spans="1:6" x14ac:dyDescent="0.25">
      <c r="A38" s="1">
        <f>A37</f>
        <v>1625.2025117098678</v>
      </c>
      <c r="B38">
        <f>'US-Units'!$I$5</f>
        <v>2500</v>
      </c>
      <c r="E38" s="1">
        <f>E37</f>
        <v>681.2864075993881</v>
      </c>
      <c r="F38">
        <f>'Metric-Units'!$H$5</f>
        <v>17</v>
      </c>
    </row>
    <row r="40" spans="1:6" x14ac:dyDescent="0.25">
      <c r="A40">
        <v>0</v>
      </c>
      <c r="B40">
        <f>'US-Units'!I5</f>
        <v>2500</v>
      </c>
      <c r="E40">
        <v>0</v>
      </c>
      <c r="F40">
        <f>'Metric-Units'!H5</f>
        <v>17</v>
      </c>
    </row>
    <row r="41" spans="1:6" x14ac:dyDescent="0.25">
      <c r="A41" s="1">
        <f>A37</f>
        <v>1625.2025117098678</v>
      </c>
      <c r="B41">
        <f>'US-Units'!I5</f>
        <v>2500</v>
      </c>
      <c r="E41" s="1">
        <f>E37</f>
        <v>681.2864075993881</v>
      </c>
      <c r="F41">
        <f>'Metric-Units'!H5</f>
        <v>17</v>
      </c>
    </row>
  </sheetData>
  <sheetProtection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F9E23-5FB8-4D8B-B21A-CE6BF28A4225}">
  <dimension ref="A1:K49"/>
  <sheetViews>
    <sheetView workbookViewId="0">
      <selection activeCell="A12" sqref="A12:E17"/>
    </sheetView>
  </sheetViews>
  <sheetFormatPr defaultRowHeight="15.75" x14ac:dyDescent="0.25"/>
  <cols>
    <col min="1" max="1" width="28.375" customWidth="1"/>
  </cols>
  <sheetData>
    <row r="1" spans="1:11" ht="16.5" thickBot="1" x14ac:dyDescent="0.3">
      <c r="A1" s="122" t="s">
        <v>22</v>
      </c>
      <c r="B1" s="122"/>
    </row>
    <row r="2" spans="1:11" ht="54" customHeight="1" thickBot="1" x14ac:dyDescent="0.3">
      <c r="A2" s="127" t="s">
        <v>25</v>
      </c>
      <c r="B2" s="126">
        <f>IF('US-Units'!I13&lt;0.85*'US-Units'!I5,0,128)</f>
        <v>0</v>
      </c>
      <c r="D2" s="129">
        <f>SUM(B2:B9)</f>
        <v>8</v>
      </c>
      <c r="E2" s="130" t="s">
        <v>24</v>
      </c>
    </row>
    <row r="3" spans="1:11" ht="54.75" customHeight="1" x14ac:dyDescent="0.25">
      <c r="A3" s="127" t="s">
        <v>31</v>
      </c>
      <c r="B3" s="126">
        <f>IF(AND('US-Units'!F6="Compressive Strength",'US-Units'!I5&lt;1000),64,IF(AND('US-Units'!F6="Flexural Strength",'US-Units'!I5&lt;200),64,0))</f>
        <v>0</v>
      </c>
      <c r="G3" s="128" t="s">
        <v>51</v>
      </c>
      <c r="H3" s="128"/>
      <c r="I3" s="128"/>
      <c r="J3" s="128"/>
      <c r="K3" s="128"/>
    </row>
    <row r="4" spans="1:11" ht="63" x14ac:dyDescent="0.25">
      <c r="A4" s="127" t="s">
        <v>26</v>
      </c>
      <c r="B4" s="126">
        <f>IF(COUNTIF('US-Units'!J13:J26,"&gt;0.08")&gt;0,32,0)</f>
        <v>0</v>
      </c>
      <c r="G4" s="128"/>
      <c r="H4" s="128"/>
      <c r="I4" s="128"/>
      <c r="J4" s="128"/>
      <c r="K4" s="128"/>
    </row>
    <row r="5" spans="1:11" ht="63" x14ac:dyDescent="0.25">
      <c r="A5" s="127" t="s">
        <v>27</v>
      </c>
      <c r="B5" s="126">
        <f>IF(AND('US-Units'!F6="Compressive Strength",'US-Units'!I15&gt;'US-Units'!I5),16,IF(AND('US-Units'!F6="Flexural Strength",'US-Units'!I15&gt;'US-Units'!I5),16,0))</f>
        <v>0</v>
      </c>
      <c r="G5" s="128"/>
      <c r="H5" s="128"/>
      <c r="I5" s="128"/>
      <c r="J5" s="128"/>
      <c r="K5" s="128"/>
    </row>
    <row r="6" spans="1:11" ht="63" x14ac:dyDescent="0.25">
      <c r="A6" s="127" t="str">
        <f>_xlfn.CONCAT("The quality of the linear relationship is relatively low (R2=",Supplemental!B28,"). Consider checking the data. ")</f>
        <v xml:space="preserve">The quality of the linear relationship is relatively low (R2=0.76). Consider checking the data. </v>
      </c>
      <c r="B6" s="126">
        <f>IF(RSQ('US-Units'!F13:F27,'US-Units'!I13:I27)&lt;0.8,8,0)</f>
        <v>8</v>
      </c>
      <c r="C6" s="19"/>
    </row>
    <row r="7" spans="1:11" ht="47.25" x14ac:dyDescent="0.25">
      <c r="A7" s="127" t="s">
        <v>32</v>
      </c>
      <c r="B7" s="126">
        <f>IF(AND('US-Units'!F6="Compressive Strength",'US-Units'!I5&gt;3000),4,IF(AND('US-Units'!F6="Flexural Strength",'US-Units'!I5&gt;600),4,0))</f>
        <v>0</v>
      </c>
    </row>
    <row r="8" spans="1:11" x14ac:dyDescent="0.25">
      <c r="A8" s="127" t="s">
        <v>44</v>
      </c>
      <c r="B8" s="126"/>
      <c r="C8" t="s">
        <v>42</v>
      </c>
    </row>
    <row r="9" spans="1:11" x14ac:dyDescent="0.25">
      <c r="A9" s="127" t="s">
        <v>45</v>
      </c>
      <c r="B9" s="126"/>
      <c r="C9" t="s">
        <v>43</v>
      </c>
    </row>
    <row r="12" spans="1:11" ht="15.75" customHeight="1" x14ac:dyDescent="0.25">
      <c r="A12" s="132" t="s">
        <v>46</v>
      </c>
      <c r="B12" s="132"/>
      <c r="C12" s="132"/>
      <c r="D12" s="132"/>
      <c r="E12" s="132"/>
    </row>
    <row r="13" spans="1:11" x14ac:dyDescent="0.25">
      <c r="A13" s="132"/>
      <c r="B13" s="132"/>
      <c r="C13" s="132"/>
      <c r="D13" s="132"/>
      <c r="E13" s="132"/>
    </row>
    <row r="14" spans="1:11" x14ac:dyDescent="0.25">
      <c r="A14" s="132"/>
      <c r="B14" s="132"/>
      <c r="C14" s="132"/>
      <c r="D14" s="132"/>
      <c r="E14" s="132"/>
    </row>
    <row r="15" spans="1:11" x14ac:dyDescent="0.25">
      <c r="A15" s="132"/>
      <c r="B15" s="132"/>
      <c r="C15" s="132"/>
      <c r="D15" s="132"/>
      <c r="E15" s="132"/>
    </row>
    <row r="16" spans="1:11" x14ac:dyDescent="0.25">
      <c r="A16" s="132"/>
      <c r="B16" s="132"/>
      <c r="C16" s="132"/>
      <c r="D16" s="132"/>
      <c r="E16" s="132"/>
    </row>
    <row r="17" spans="1:5" x14ac:dyDescent="0.25">
      <c r="A17" s="132"/>
      <c r="B17" s="132"/>
      <c r="C17" s="132"/>
      <c r="D17" s="132"/>
      <c r="E17" s="132"/>
    </row>
    <row r="18" spans="1:5" ht="15.75" customHeight="1" x14ac:dyDescent="0.25"/>
    <row r="25" spans="1:5" ht="15.75" customHeight="1" x14ac:dyDescent="0.25"/>
    <row r="40" ht="15.75" customHeight="1" x14ac:dyDescent="0.25"/>
    <row r="46" ht="15.75" customHeight="1" x14ac:dyDescent="0.25"/>
    <row r="48" ht="15.75" customHeight="1" x14ac:dyDescent="0.25"/>
    <row r="49" ht="15.75" customHeight="1" x14ac:dyDescent="0.25"/>
  </sheetData>
  <mergeCells count="3">
    <mergeCell ref="A1:B1"/>
    <mergeCell ref="G3:K5"/>
    <mergeCell ref="A12:E1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F6D09-52F8-4A36-8EEF-029759379471}">
  <dimension ref="A1:K49"/>
  <sheetViews>
    <sheetView workbookViewId="0">
      <selection activeCell="A12" sqref="A12:E17"/>
    </sheetView>
  </sheetViews>
  <sheetFormatPr defaultRowHeight="15.75" x14ac:dyDescent="0.25"/>
  <cols>
    <col min="1" max="1" width="31" style="131" customWidth="1"/>
  </cols>
  <sheetData>
    <row r="1" spans="1:11" ht="16.5" thickBot="1" x14ac:dyDescent="0.3">
      <c r="A1" s="122" t="s">
        <v>22</v>
      </c>
      <c r="B1" s="122"/>
    </row>
    <row r="2" spans="1:11" ht="62.25" customHeight="1" thickBot="1" x14ac:dyDescent="0.3">
      <c r="A2" s="127" t="s">
        <v>25</v>
      </c>
      <c r="B2" s="126">
        <f>IF('Metric-Units'!I13&lt;0.85*'Metric-Units'!I5,0,128)</f>
        <v>128</v>
      </c>
      <c r="D2" s="129">
        <f>SUM(B2:B9)</f>
        <v>176</v>
      </c>
      <c r="E2" s="130" t="s">
        <v>24</v>
      </c>
    </row>
    <row r="3" spans="1:11" ht="47.25" x14ac:dyDescent="0.25">
      <c r="A3" s="127" t="s">
        <v>31</v>
      </c>
      <c r="B3" s="126">
        <f>IF(AND('Metric-Units'!E6="Compressive Strength",'Metric-Units'!H5&lt;7),64,IF(AND('Metric-Units'!E6="Flexural Strength",'Metric-Units'!H5&lt;1.4),64,0))</f>
        <v>0</v>
      </c>
      <c r="G3" s="128" t="s">
        <v>51</v>
      </c>
      <c r="H3" s="128"/>
      <c r="I3" s="128"/>
      <c r="J3" s="128"/>
      <c r="K3" s="128"/>
    </row>
    <row r="4" spans="1:11" ht="47.25" x14ac:dyDescent="0.25">
      <c r="A4" s="127" t="s">
        <v>26</v>
      </c>
      <c r="B4" s="126">
        <f>IF(COUNTIF('Metric-Units'!I13:I26,"&gt;0.08")&gt;0,32,0)</f>
        <v>32</v>
      </c>
      <c r="G4" s="128"/>
      <c r="H4" s="128"/>
      <c r="I4" s="128"/>
      <c r="J4" s="128"/>
      <c r="K4" s="128"/>
    </row>
    <row r="5" spans="1:11" ht="47.25" x14ac:dyDescent="0.25">
      <c r="A5" s="127" t="s">
        <v>27</v>
      </c>
      <c r="B5" s="126">
        <f>IF(AND('Metric-Units'!E6="Compressive Strength",'Metric-Units'!H15&gt;'Metric-Units'!H5),16,IF(AND('Metric-Units'!E6="Flexural Strength",'Metric-Units'!H15&gt;'Metric-Units'!H5),16,0))</f>
        <v>16</v>
      </c>
      <c r="G5" s="128"/>
      <c r="H5" s="128"/>
      <c r="I5" s="128"/>
      <c r="J5" s="128"/>
      <c r="K5" s="128"/>
    </row>
    <row r="6" spans="1:11" ht="47.25" x14ac:dyDescent="0.25">
      <c r="A6" s="127" t="str">
        <f>_xlfn.CONCAT("The quality of the linear relationship is relatively low (R2=",Supplemental!B28,"). Consider checking the data. ")</f>
        <v xml:space="preserve">The quality of the linear relationship is relatively low (R2=0.76). Consider checking the data. </v>
      </c>
      <c r="B6" s="126">
        <f>IF(RSQ('Metric-Units'!E13:E27,'Metric-Units'!H13:H27)&lt;0.8,8,0)</f>
        <v>0</v>
      </c>
      <c r="C6" s="19"/>
    </row>
    <row r="7" spans="1:11" ht="47.25" x14ac:dyDescent="0.25">
      <c r="A7" s="127" t="s">
        <v>32</v>
      </c>
      <c r="B7" s="126">
        <f>IF(AND('Metric-Units'!E6="Compressive Strength",'Metric-Units'!H5&gt;21),4,IF(AND('Metric-Units'!E6="Flexural Strength",'Metric-Units'!H5&gt;4),4,0))</f>
        <v>0</v>
      </c>
    </row>
    <row r="8" spans="1:11" x14ac:dyDescent="0.25">
      <c r="A8" s="127" t="s">
        <v>44</v>
      </c>
      <c r="B8" s="126"/>
      <c r="C8" t="s">
        <v>42</v>
      </c>
    </row>
    <row r="9" spans="1:11" x14ac:dyDescent="0.25">
      <c r="A9" s="127" t="s">
        <v>45</v>
      </c>
      <c r="B9" s="126"/>
      <c r="C9" t="s">
        <v>43</v>
      </c>
    </row>
    <row r="12" spans="1:11" ht="15.75" customHeight="1" x14ac:dyDescent="0.25">
      <c r="A12" s="132" t="s">
        <v>46</v>
      </c>
      <c r="B12" s="132"/>
      <c r="C12" s="132"/>
      <c r="D12" s="132"/>
      <c r="E12" s="132"/>
    </row>
    <row r="13" spans="1:11" x14ac:dyDescent="0.25">
      <c r="A13" s="132"/>
      <c r="B13" s="132"/>
      <c r="C13" s="132"/>
      <c r="D13" s="132"/>
      <c r="E13" s="132"/>
    </row>
    <row r="14" spans="1:11" x14ac:dyDescent="0.25">
      <c r="A14" s="132"/>
      <c r="B14" s="132"/>
      <c r="C14" s="132"/>
      <c r="D14" s="132"/>
      <c r="E14" s="132"/>
    </row>
    <row r="15" spans="1:11" x14ac:dyDescent="0.25">
      <c r="A15" s="132"/>
      <c r="B15" s="132"/>
      <c r="C15" s="132"/>
      <c r="D15" s="132"/>
      <c r="E15" s="132"/>
    </row>
    <row r="16" spans="1:11" x14ac:dyDescent="0.25">
      <c r="A16" s="132"/>
      <c r="B16" s="132"/>
      <c r="C16" s="132"/>
      <c r="D16" s="132"/>
      <c r="E16" s="132"/>
    </row>
    <row r="17" spans="1:5" x14ac:dyDescent="0.25">
      <c r="A17" s="132"/>
      <c r="B17" s="132"/>
      <c r="C17" s="132"/>
      <c r="D17" s="132"/>
      <c r="E17" s="132"/>
    </row>
    <row r="18" spans="1:5" ht="15.75" customHeight="1" x14ac:dyDescent="0.25"/>
    <row r="25" spans="1:5" ht="15.75" customHeight="1" x14ac:dyDescent="0.25"/>
    <row r="40" ht="15.75" customHeight="1" x14ac:dyDescent="0.25"/>
    <row r="46" ht="15.75" customHeight="1" x14ac:dyDescent="0.25"/>
    <row r="48" ht="15.75" customHeight="1" x14ac:dyDescent="0.25"/>
    <row r="49" ht="15.75" customHeight="1" x14ac:dyDescent="0.25"/>
  </sheetData>
  <mergeCells count="3">
    <mergeCell ref="A1:B1"/>
    <mergeCell ref="G3:K5"/>
    <mergeCell ref="A12:E1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Information</vt:lpstr>
      <vt:lpstr>US-Units</vt:lpstr>
      <vt:lpstr>Metric-Units</vt:lpstr>
      <vt:lpstr>Supplemental</vt:lpstr>
      <vt:lpstr>Error Bits (US)</vt:lpstr>
      <vt:lpstr>Error Bits (Metric)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Armen Amirkhanian</dc:creator>
  <cp:lastModifiedBy>Armen Amirkhanian</cp:lastModifiedBy>
  <dcterms:created xsi:type="dcterms:W3CDTF">2023-12-29T18:29:08Z</dcterms:created>
  <dcterms:modified xsi:type="dcterms:W3CDTF">2024-05-17T13:55:10Z</dcterms:modified>
</cp:coreProperties>
</file>